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55" windowWidth="26835" windowHeight="13140" activeTab="0"/>
  </bookViews>
  <sheets>
    <sheet name="eelarve täitmine" sheetId="1" r:id="rId1"/>
    <sheet name="investeeringud" sheetId="2" r:id="rId2"/>
  </sheet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37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comments2.xml><?xml version="1.0" encoding="utf-8"?>
<comments xmlns="http://schemas.openxmlformats.org/spreadsheetml/2006/main">
  <authors>
    <author>Tartu Linnavalitsus</author>
  </authors>
  <commentList>
    <comment ref="G30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sh maa ost Soojuse 2, 6000 eurot</t>
        </r>
      </text>
    </comment>
    <comment ref="I30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maa ost</t>
        </r>
      </text>
    </comment>
  </commentList>
</comments>
</file>

<file path=xl/sharedStrings.xml><?xml version="1.0" encoding="utf-8"?>
<sst xmlns="http://schemas.openxmlformats.org/spreadsheetml/2006/main" count="730" uniqueCount="372">
  <si>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</si>
  <si>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</si>
  <si>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</si>
  <si>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</si>
  <si>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</si>
  <si>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</si>
  <si>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</si>
  <si>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</si>
  <si>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</si>
  <si>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</si>
  <si>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</si>
  <si>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</si>
  <si>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</si>
  <si>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</si>
  <si>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</si>
  <si>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r>
      <t xml:space="preserve">   </t>
    </r>
    <r>
      <rPr>
        <b/>
        <i/>
        <sz val="11"/>
        <rFont val="Times New Roman"/>
        <family val="1"/>
      </rPr>
      <t>Linnavalitsus</t>
    </r>
  </si>
  <si>
    <t>LVO</t>
  </si>
  <si>
    <t>LK</t>
  </si>
  <si>
    <t>Majandus</t>
  </si>
  <si>
    <t>LMO</t>
  </si>
  <si>
    <t>Tänavate rekonstrueerimine, ehitus</t>
  </si>
  <si>
    <t>Kruusakattega tänavate asfalteerimine</t>
  </si>
  <si>
    <t>Ülekatted ja pindamised</t>
  </si>
  <si>
    <t>Sadevee liitumistasu</t>
  </si>
  <si>
    <t>Koostöö võrguarendajatega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</si>
  <si>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</si>
  <si>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</si>
  <si>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</si>
  <si>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</si>
  <si>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</si>
  <si>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Keskkonnakaitse</t>
  </si>
  <si>
    <r>
      <t xml:space="preserve">   </t>
    </r>
    <r>
      <rPr>
        <b/>
        <i/>
        <sz val="11"/>
        <rFont val="Times New Roman"/>
        <family val="1"/>
      </rPr>
      <t>Haljastus</t>
    </r>
  </si>
  <si>
    <t xml:space="preserve">   Elamumajanduse arendamine</t>
  </si>
  <si>
    <t xml:space="preserve">Linnale kuuluvate korterite remont </t>
  </si>
  <si>
    <t xml:space="preserve">   Tänavavalgustus</t>
  </si>
  <si>
    <t>Tänavavalgustuse haldusprogrammi väljavahetamine</t>
  </si>
  <si>
    <t xml:space="preserve">  Muu elamu- ja kommunaaltegevus</t>
  </si>
  <si>
    <t xml:space="preserve">   Spordibaasid</t>
  </si>
  <si>
    <t>Annelinna kunstmuruväljak</t>
  </si>
  <si>
    <t>spordiinventari soetuseks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</si>
  <si>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</si>
  <si>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t>Pillide ost</t>
  </si>
  <si>
    <t xml:space="preserve">   Muinsuskaitse</t>
  </si>
  <si>
    <t xml:space="preserve">Toetus SAle Tartu Pauluse Kirik </t>
  </si>
  <si>
    <t>AEO</t>
  </si>
  <si>
    <t>Toetus Eesti Apostlik Õigeusu Kirikule</t>
  </si>
  <si>
    <t xml:space="preserve">Toetus EELK Tartu Peetri Kogudusele </t>
  </si>
  <si>
    <t>Restaureerimise toetused</t>
  </si>
  <si>
    <t>Haridus</t>
  </si>
  <si>
    <t xml:space="preserve">   Lasteaiad (09110)</t>
  </si>
  <si>
    <t>Kesklinna Lastekeskus (Akadeemia 2)</t>
  </si>
  <si>
    <t>Hansa Kool (Anne 63)</t>
  </si>
  <si>
    <t>Karlova Kool (Lina 2)</t>
  </si>
  <si>
    <t>Forseliuse Kool (Tähe 103)</t>
  </si>
  <si>
    <t>Kesklinna Kool (Kroonuaia 7)</t>
  </si>
  <si>
    <t xml:space="preserve">   Muu haridus (09800)</t>
  </si>
  <si>
    <t>Ettekirjutiste täitmine</t>
  </si>
  <si>
    <t>Haridusasutuste rekonstrueerimistööde projekteerimised</t>
  </si>
  <si>
    <t>Sotsiaalne kaitse</t>
  </si>
  <si>
    <t>SO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</si>
  <si>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</si>
  <si>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</si>
  <si>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</si>
  <si>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</si>
  <si>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</si>
  <si>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</si>
  <si>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</si>
  <si>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</si>
  <si>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</si>
  <si>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</si>
  <si>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</si>
  <si>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</si>
  <si>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</si>
  <si>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</si>
  <si>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</si>
  <si>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</si>
  <si>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</si>
  <si>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</si>
  <si>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</si>
  <si>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</si>
  <si>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</si>
  <si>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</si>
  <si>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</si>
  <si>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</si>
  <si>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</si>
  <si>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</si>
  <si>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</si>
  <si>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</si>
  <si>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</si>
  <si>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</si>
  <si>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</si>
  <si>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</si>
  <si>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</si>
  <si>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</si>
  <si>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</si>
  <si>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</si>
  <si>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</si>
  <si>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</si>
  <si>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</si>
  <si>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</si>
  <si>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</si>
  <si>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</si>
  <si>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</si>
  <si>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</si>
  <si>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</si>
  <si>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</si>
  <si>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</si>
  <si>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</si>
  <si>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</si>
  <si>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</si>
  <si>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</si>
  <si>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</si>
  <si>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</si>
  <si>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</si>
  <si>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</si>
  <si>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</si>
  <si>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</si>
  <si>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</si>
  <si>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</si>
  <si>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</si>
  <si>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</si>
  <si>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</si>
  <si>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</si>
  <si>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</si>
  <si>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</si>
  <si>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</si>
  <si>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</si>
  <si>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</si>
  <si>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</si>
  <si>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</si>
  <si>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</si>
  <si>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</si>
  <si>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</si>
  <si>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</si>
  <si>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</si>
  <si>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</si>
  <si>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</si>
  <si>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</si>
  <si>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</si>
  <si>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</si>
  <si>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</si>
  <si>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</si>
  <si>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Lasteaedade sisekliima tagamine</t>
  </si>
  <si>
    <t>koolihoone Nooruse 9</t>
  </si>
  <si>
    <t>Baeri-Näituse-Ilmatsalu</t>
  </si>
  <si>
    <t>Kroonuaia sild-Aruküla tee</t>
  </si>
  <si>
    <t>TARTU LINNA 2016. a eelarve INVESTEERIMISTEGEVUSE  KULUD</t>
  </si>
  <si>
    <t>Kinnit</t>
  </si>
  <si>
    <t xml:space="preserve">Täitmine </t>
  </si>
  <si>
    <t>INVESTEERIMISTEGEVUS  KULUD  kokku</t>
  </si>
  <si>
    <t>sh toetused</t>
  </si>
  <si>
    <t>ÜLDISED  VALITSUSSEKTORI  TEENUSED</t>
  </si>
  <si>
    <t xml:space="preserve">   Valitsussektori võla teenindamine</t>
  </si>
  <si>
    <t>Küüni 5 ametiruumide remont</t>
  </si>
  <si>
    <t>Linnavalitsuse IT vahendite soetamine</t>
  </si>
  <si>
    <t>MAJANDUS</t>
  </si>
  <si>
    <t>LPM</t>
  </si>
  <si>
    <t xml:space="preserve">Vaksali tn väljak, parklad, kergliiklusteed </t>
  </si>
  <si>
    <t>Tartu idapoolse ringtee ehitamine</t>
  </si>
  <si>
    <t xml:space="preserve">Roosi tn </t>
  </si>
  <si>
    <t>Muuseumi tee</t>
  </si>
  <si>
    <t>Ülikooli tn rekonstrueerimine (Vallikraavi-Lossi)</t>
  </si>
  <si>
    <t xml:space="preserve">Kastani (Kuperjanovi - Riia), Tiigi - Vaksali </t>
  </si>
  <si>
    <t>Soola, Turu, Kalevi tn</t>
  </si>
  <si>
    <t>Struve tn</t>
  </si>
  <si>
    <t>Killustikparkla rajamine tasuta parkimiseks (Uus 63d)</t>
  </si>
  <si>
    <t>Raudtee tn T41 juurdepääsutee ehitamine</t>
  </si>
  <si>
    <t>Sanatooriumi tn</t>
  </si>
  <si>
    <t>Toetus Tartu Ülikoolile raamatukoguesise platsi rekonstrueerimiseks</t>
  </si>
  <si>
    <t>Koostööprojektid korteriühistutega parklate (sh rattaparklad) rajamiseks</t>
  </si>
  <si>
    <t>Projekteerimised</t>
  </si>
  <si>
    <t>Turusilla remont</t>
  </si>
  <si>
    <t>Kaarsilla remondi projekteerimine</t>
  </si>
  <si>
    <t>Jalg- ja jalgrattateed</t>
  </si>
  <si>
    <t>Turu jalakäijate sild-Annelinn-Nõlvaku</t>
  </si>
  <si>
    <t>Kreutzwaldi tn (Carolina-linna piir)</t>
  </si>
  <si>
    <t>Filosoofi, Lootuse, Kalevi, Aida kergliiklusteed</t>
  </si>
  <si>
    <t>Võru tn kõnnitee (Riia - Kastani)</t>
  </si>
  <si>
    <t>Jalgtee Võidu sillale</t>
  </si>
  <si>
    <t>Tamme pst kõnniteed</t>
  </si>
  <si>
    <t>Turu tn 8 roheala kergliiklustee</t>
  </si>
  <si>
    <t xml:space="preserve">   Liikluskorraldus</t>
  </si>
  <si>
    <t xml:space="preserve">
Kroonuaia-Emajõe fooride rekonstrueerimine</t>
  </si>
  <si>
    <t>Ühistranspordi korraldus</t>
  </si>
  <si>
    <t>Tartu bussidepoo</t>
  </si>
  <si>
    <t>EVO</t>
  </si>
  <si>
    <t>Toetus SA-le Tartu Loomemajanduskeskus loomekiirendi fondi moodustamiseks</t>
  </si>
  <si>
    <t>Roosi ja Kasarmu tn äärsete alade korrastamine (ERMi ümbrus)</t>
  </si>
  <si>
    <t>Tartu Maratoni monumendi rajamine</t>
  </si>
  <si>
    <t>Tiigi Seltsimaja (Tiigi 11)</t>
  </si>
  <si>
    <t>KESKKONNAKAITSE</t>
  </si>
  <si>
    <r>
      <t xml:space="preserve">   </t>
    </r>
    <r>
      <rPr>
        <b/>
        <i/>
        <sz val="11"/>
        <rFont val="Times New Roman"/>
        <family val="1"/>
      </rPr>
      <t xml:space="preserve">Jäätmekäitlus </t>
    </r>
    <r>
      <rPr>
        <sz val="11"/>
        <rFont val="Times New Roman"/>
        <family val="1"/>
      </rPr>
      <t>- toetus jäätmemajade ja süvakogumismahutite rajamiseks</t>
    </r>
  </si>
  <si>
    <r>
      <t xml:space="preserve">   Veemajandus </t>
    </r>
    <r>
      <rPr>
        <sz val="11"/>
        <rFont val="Times New Roman"/>
        <family val="1"/>
      </rPr>
      <t>- toetus hüdrantide rajamiseks</t>
    </r>
  </si>
  <si>
    <t>Emajõe suvekohvikute platvormide ehitamine</t>
  </si>
  <si>
    <t>Toomemäe rekonstrueerimine</t>
  </si>
  <si>
    <t>Riiamäe platsi rekonstrueerimine</t>
  </si>
  <si>
    <t>Kanali äärde koerte jalutusväljaku rajamine</t>
  </si>
  <si>
    <t>Tartu tammiku projekteerimine</t>
  </si>
  <si>
    <t>Ihaste välitreeningala kaasajastamine</t>
  </si>
  <si>
    <t>Peetri Tiigi süvendamine ja korrastamine</t>
  </si>
  <si>
    <t>Projekteerimine ja projektide korrektuurid</t>
  </si>
  <si>
    <t>Jalaka 48a mängu- ja spordiväljaku ehitamine</t>
  </si>
  <si>
    <t>ELAMU- ja KOMMUNAALMAJANDUS</t>
  </si>
  <si>
    <t>Linnale kuuluvate elamute remont, sh:</t>
  </si>
  <si>
    <t>Rahu 8</t>
  </si>
  <si>
    <t xml:space="preserve">Kalda tee 40 </t>
  </si>
  <si>
    <t>Mõisavahe 67</t>
  </si>
  <si>
    <t xml:space="preserve">Puiestee 114 </t>
  </si>
  <si>
    <t>Annemõisa 4</t>
  </si>
  <si>
    <t>osalus korteriühistute hoonete rekonstrueerimistöödel</t>
  </si>
  <si>
    <t>Võidu silla kujundusvalgustus</t>
  </si>
  <si>
    <t>ülekäiguridade täiendav valgustamine</t>
  </si>
  <si>
    <t>Juhtimiskilpide ja valgustite kaugjuhitavate juhtimiskontrollerite ost ja paigaldamine</t>
  </si>
  <si>
    <t>Hipodroomi 12a ringteele valgustuse ehitus</t>
  </si>
  <si>
    <t>Annelinna piirkonna valgustuse renoveerimise projekt</t>
  </si>
  <si>
    <t>Uspenski kabeli katuse ja Raadi leinamaja remont</t>
  </si>
  <si>
    <t>Kalmistu t tänavaäärsete piirete remont</t>
  </si>
  <si>
    <t>Rahumäe kalmistu abihoone projekteerimine</t>
  </si>
  <si>
    <t>Vana-Jaani kalmistu värava rekonstrueerimise projekteerimine</t>
  </si>
  <si>
    <t>TERVISHOID</t>
  </si>
  <si>
    <r>
      <t xml:space="preserve">   Muu tervishoid</t>
    </r>
    <r>
      <rPr>
        <sz val="11"/>
        <rFont val="Times New Roman"/>
        <family val="1"/>
      </rPr>
      <t xml:space="preserve"> - Annelinna tervisekeskuse ruumimahu määratlemine ja eskiisprojekti koostamine</t>
    </r>
  </si>
  <si>
    <t xml:space="preserve"> </t>
  </si>
  <si>
    <t>VABA AEG ja KULTUUR</t>
  </si>
  <si>
    <t>Spordikool (Turu 8)</t>
  </si>
  <si>
    <t>Tamme staadion</t>
  </si>
  <si>
    <t>EMÜ spordihoone ehitamise toetamine</t>
  </si>
  <si>
    <t>TÜ spordihoone renoveerimise toetamine</t>
  </si>
  <si>
    <t>Annemõisa spordikeskuse olmehoone rekonstrueerimine</t>
  </si>
  <si>
    <t>MTÜ Jalgpallikool Tammeka Tartu Sepa staadioni rekonstrueerimiseks</t>
  </si>
  <si>
    <t>Veski baas</t>
  </si>
  <si>
    <t>Toetus Sõudmise ja Aerutamise Klubile, sh</t>
  </si>
  <si>
    <t>paadikuuri remondiks</t>
  </si>
  <si>
    <t>spordivarustuse soetamiseks</t>
  </si>
  <si>
    <t xml:space="preserve">SAle Tartu Sport, sh </t>
  </si>
  <si>
    <t>kunstmurutraktori rendimakseteks</t>
  </si>
  <si>
    <r>
      <t xml:space="preserve">   </t>
    </r>
    <r>
      <rPr>
        <b/>
        <i/>
        <sz val="11"/>
        <rFont val="Times New Roman"/>
        <family val="1"/>
      </rPr>
      <t>Puhkepargid</t>
    </r>
    <r>
      <rPr>
        <sz val="11"/>
        <rFont val="Times New Roman"/>
        <family val="1"/>
      </rPr>
      <t xml:space="preserve"> - SA-le Tähtvere Puhkepark</t>
    </r>
  </si>
  <si>
    <t xml:space="preserve">skatehalli ehitamiseks </t>
  </si>
  <si>
    <t xml:space="preserve">galeriide ja raadiomaja katuse remondiks </t>
  </si>
  <si>
    <t xml:space="preserve">rajatraktori rendimakseteks </t>
  </si>
  <si>
    <t>BMX krossiraja renoveerimiseks, ronimisseina rajamiseks ja dendropargi terviseradade arenduseks</t>
  </si>
  <si>
    <t xml:space="preserve">II Muusikakool (Kaunase pst 23) </t>
  </si>
  <si>
    <r>
      <t xml:space="preserve">   </t>
    </r>
    <r>
      <rPr>
        <b/>
        <i/>
        <sz val="11"/>
        <rFont val="Times New Roman"/>
        <family val="1"/>
      </rPr>
      <t>Laste huvialamajad ja keskused</t>
    </r>
  </si>
  <si>
    <t xml:space="preserve">Anne Noortekeskus (Uus 56) </t>
  </si>
  <si>
    <t>Lille Maja (Lille 9)</t>
  </si>
  <si>
    <t xml:space="preserve">Hoone rekonstrueerimistöödeks (Kompanii 3/5) </t>
  </si>
  <si>
    <t>Linnaraamatukogu harukogudele videovalve paigaldamine</t>
  </si>
  <si>
    <t xml:space="preserve">  Muuseumid</t>
  </si>
  <si>
    <t>Linnamuuseumi (Narva mnt 25) püsinäituse arhitektuurne ja sisekujunduslik eskiisprojekt</t>
  </si>
  <si>
    <t>Linnamuuseum (Narva mnt 23) ruumide remondiks</t>
  </si>
  <si>
    <t xml:space="preserve">Linnakodaniku muuseum (Jaani 16) </t>
  </si>
  <si>
    <t>Toetus Tartu Maarja Kiriku SAle</t>
  </si>
  <si>
    <t>Teatrid</t>
  </si>
  <si>
    <t>Tartu Uue Teatri publikuala rekonstrueerimine</t>
  </si>
  <si>
    <r>
      <t xml:space="preserve">   </t>
    </r>
    <r>
      <rPr>
        <b/>
        <i/>
        <sz val="11"/>
        <rFont val="Times New Roman"/>
        <family val="1"/>
      </rPr>
      <t xml:space="preserve">Kirjastused - </t>
    </r>
    <r>
      <rPr>
        <sz val="11"/>
        <rFont val="Times New Roman"/>
        <family val="1"/>
      </rPr>
      <t>Eesti Kirjanike Liidu Tartu osakonnale Tartu Kirjanduse Maja (Vanemuise 19) välistrepi remondiks</t>
    </r>
  </si>
  <si>
    <t xml:space="preserve">  Muu vabaaeg ja kultuur</t>
  </si>
  <si>
    <t>Elleri amfiteater Toomemäe nõlval (kaasav eelarve)</t>
  </si>
  <si>
    <t>HARIDUS</t>
  </si>
  <si>
    <t xml:space="preserve">Uute lasteaedade rajamine, sh </t>
  </si>
  <si>
    <t>(Pepleri 1a)</t>
  </si>
  <si>
    <t>Pepler 1a</t>
  </si>
  <si>
    <t>Lasteaedade rekonstrueerimine, sh</t>
  </si>
  <si>
    <t>LA Rukkilill (Sepa 18)</t>
  </si>
  <si>
    <t>LA Karoliine (Kesk 6)</t>
  </si>
  <si>
    <t>LA Maarjamõisa (Puusepa 10)</t>
  </si>
  <si>
    <t>LA Ristikhein (Ropka tee 25)</t>
  </si>
  <si>
    <t>LA Krõll  (Anne 67)</t>
  </si>
  <si>
    <t>Lasteaedade rühmade remondid</t>
  </si>
  <si>
    <t>Lasteaedade köökide remondid ja köögiseadmete ost</t>
  </si>
  <si>
    <t>Lasteaedade mänguväljakute ja õuepaviljonide korrashoid</t>
  </si>
  <si>
    <r>
      <t xml:space="preserve"> Põhikoolid (09212) </t>
    </r>
    <r>
      <rPr>
        <sz val="11"/>
        <rFont val="Times New Roman"/>
        <family val="1"/>
      </rPr>
      <t>- 
põhikoolide rekonstrueerimine, sh</t>
    </r>
  </si>
  <si>
    <t>A. Puškini Kool (Uus 54)</t>
  </si>
  <si>
    <t>Veeriku Kool (Veeriku 41)</t>
  </si>
  <si>
    <t>Tamme Kool (Tamme pst 24a)</t>
  </si>
  <si>
    <t>Raatuse Kool (Raatuse 88a)</t>
  </si>
  <si>
    <t>Kroonuaia Kool (Puiestee 62)</t>
  </si>
  <si>
    <t>Descartes'i Kool (Anne 65)</t>
  </si>
  <si>
    <t>H. Masingu Kool (Vanemuise 33)</t>
  </si>
  <si>
    <t>koolide ühine spordiväljak</t>
  </si>
  <si>
    <r>
      <t xml:space="preserve">    Gümnaasiumid (09213)</t>
    </r>
    <r>
      <rPr>
        <sz val="11"/>
        <color indexed="8"/>
        <rFont val="Times New Roman"/>
        <family val="1"/>
      </rPr>
      <t xml:space="preserve"> </t>
    </r>
  </si>
  <si>
    <t>H. Treffneri Gümnaasium (Munga 12)</t>
  </si>
  <si>
    <t>Ruumide remont (Põllu 11)</t>
  </si>
  <si>
    <t>Õppeotstarbeliste seadmete soetamine</t>
  </si>
  <si>
    <r>
      <t xml:space="preserve">    Taseme alusel mittemääratletav haridus </t>
    </r>
    <r>
      <rPr>
        <sz val="11"/>
        <color indexed="8"/>
        <rFont val="Times New Roman"/>
        <family val="1"/>
      </rPr>
      <t>- 
Kutsehariduskeskuse õppeotstarbeliste seadmete soetamine</t>
    </r>
  </si>
  <si>
    <t>Haridusasutuste territooriumide korrashoid</t>
  </si>
  <si>
    <t>Haridusasutuste välistreppide rekonstrueerimine</t>
  </si>
  <si>
    <t>Koolide spordiväljakud ja staadionid</t>
  </si>
  <si>
    <t>Karlova Kooli (Lina 2) staadion</t>
  </si>
  <si>
    <t>M. Reiniku kooli (Riia 25) staadion</t>
  </si>
  <si>
    <t>koolide spordiväljakud</t>
  </si>
  <si>
    <t>projektis Osirys osalemine</t>
  </si>
  <si>
    <t>SOTSIAALNE  KAITSE</t>
  </si>
  <si>
    <r>
      <t xml:space="preserve">   </t>
    </r>
    <r>
      <rPr>
        <b/>
        <i/>
        <sz val="11"/>
        <rFont val="Times New Roman"/>
        <family val="1"/>
      </rPr>
      <t>Muu puuetega inimeste sotsiaalne kaitse</t>
    </r>
    <r>
      <rPr>
        <sz val="11"/>
        <rFont val="Times New Roman"/>
        <family val="1"/>
      </rPr>
      <t xml:space="preserve"> - 
Puuetega Inimeste Koja ruumide (Rahu 8) remont</t>
    </r>
  </si>
  <si>
    <t xml:space="preserve">   Muu sotsiaalsete riskirühmade kaitse</t>
  </si>
  <si>
    <t>Sotsiaalmaja (Jaamamõisa 38) eskiis</t>
  </si>
  <si>
    <t>OÜ-le Anne Saun (Anne 44) lifti paigaldamiseks</t>
  </si>
  <si>
    <t>s h  võlakirjade emiteerimine (tasumine)</t>
  </si>
  <si>
    <t xml:space="preserve">       laenud (tasumine)</t>
  </si>
  <si>
    <t xml:space="preserve">       kapitalirent (tasumine)</t>
  </si>
  <si>
    <t>Annelinna kõnniteed</t>
  </si>
  <si>
    <t>Avalike tualettide projekteerimine</t>
  </si>
  <si>
    <t xml:space="preserve">   Raamatukogud - O. Lutsu nim Linnaraamatukogu</t>
  </si>
  <si>
    <t>Arena Tartu  (kaasav eelarve)</t>
  </si>
  <si>
    <t>K.Luige monumendi rajamine</t>
  </si>
  <si>
    <t>*</t>
  </si>
  <si>
    <t>investeeringud toetustest</t>
  </si>
  <si>
    <t>101.2.1</t>
  </si>
  <si>
    <t>Osaluste müük (+)</t>
  </si>
  <si>
    <t>101.1.1</t>
  </si>
  <si>
    <t>Osaluste soetus (-)</t>
  </si>
  <si>
    <t>Tööjõukulud</t>
  </si>
  <si>
    <t>Eelarve täitmise aruanne</t>
  </si>
  <si>
    <t>Täpsust. e/a</t>
  </si>
  <si>
    <t>Raekoja kellamäng</t>
  </si>
  <si>
    <t>Maa Muuseumi tee tarbeks</t>
  </si>
  <si>
    <t xml:space="preserve">      Roosi tn (Puiestee-Narva mnt)</t>
  </si>
  <si>
    <t xml:space="preserve">     Riia tn (Ravila-Pepleri)   </t>
  </si>
  <si>
    <t xml:space="preserve">    Turu tn </t>
  </si>
  <si>
    <t>Raudtee tn lõigus Riia-Ringtee kergkiiklustee</t>
  </si>
  <si>
    <t>Riia-Kase põik-Kabeli-Ülenurme-Võru kergliiklustee</t>
  </si>
  <si>
    <r>
      <t xml:space="preserve">   </t>
    </r>
    <r>
      <rPr>
        <b/>
        <i/>
        <sz val="11"/>
        <rFont val="Times New Roman"/>
        <family val="1"/>
      </rPr>
      <t>Kutseõppeasutused (09222)</t>
    </r>
    <r>
      <rPr>
        <sz val="11"/>
        <rFont val="Times New Roman"/>
        <family val="1"/>
      </rPr>
      <t xml:space="preserve"> - Kutsehariduskeskus</t>
    </r>
  </si>
  <si>
    <t>Arhitektuuri ja ehituse osak.arhiiviruumide remont</t>
  </si>
  <si>
    <t xml:space="preserve">   Maakorraldus</t>
  </si>
  <si>
    <r>
      <rPr>
        <i/>
        <sz val="11"/>
        <rFont val="Times New Roman"/>
        <family val="1"/>
      </rPr>
      <t xml:space="preserve">
</t>
    </r>
    <r>
      <rPr>
        <sz val="11"/>
        <rFont val="Times New Roman"/>
        <family val="1"/>
      </rPr>
      <t>maa ost teede ja tänavate aluse maa korraldamiseks</t>
    </r>
  </si>
  <si>
    <t>maa ost linnarahva puhkeala tagamiseks</t>
  </si>
  <si>
    <t>Linna teed ja tänavad</t>
  </si>
  <si>
    <t>Adra, Künni, Vao tänavate rekontrueerimine</t>
  </si>
  <si>
    <t xml:space="preserve">   Kartuli</t>
  </si>
  <si>
    <t xml:space="preserve">    Meloni</t>
  </si>
  <si>
    <t xml:space="preserve">   Kasarmu</t>
  </si>
  <si>
    <t xml:space="preserve">   Mäe</t>
  </si>
  <si>
    <t xml:space="preserve">   Peetri</t>
  </si>
  <si>
    <t xml:space="preserve">  Väike -Kaar</t>
  </si>
  <si>
    <t xml:space="preserve">   Laane</t>
  </si>
  <si>
    <t xml:space="preserve">   N.Lunini</t>
  </si>
  <si>
    <t>Koostöö arendajatega Püssirohukeldri sissesõidutee rekonstrueerimiseks</t>
  </si>
  <si>
    <t>Bussijuhtide puhkepaviljon</t>
  </si>
  <si>
    <t>Tarkvara "Tartu bussiajad" litsents</t>
  </si>
  <si>
    <t>Vanemuise trepid koostöös Teatriga Vanemuine</t>
  </si>
  <si>
    <t>Kitsas tänav</t>
  </si>
  <si>
    <t>Emajõeäärsete paviljonide elektritoide ja liitumine</t>
  </si>
  <si>
    <t>Kalmistute andmebaasi loomine</t>
  </si>
  <si>
    <t>Raadi kalmistu kivisillutis</t>
  </si>
  <si>
    <t>Uus-Jaani, Vana-Peetri, Uus-Peetri ja Pauluse kalmistute väravate restaureerimine</t>
  </si>
  <si>
    <t>ABC Kinnisvarateenuste OÜle Aparaaditehase hoovi vaba aja veetmise keskuse loomiseks</t>
  </si>
  <si>
    <t>Vana tapamaja värava resataureerimine</t>
  </si>
  <si>
    <t>Telleri kabeli katuse remont</t>
  </si>
  <si>
    <t xml:space="preserve">Kivilinna Kool ( Kaunase pst 71) </t>
  </si>
  <si>
    <r>
      <t xml:space="preserve">   Põhi- ja üldkeskhariduse kaudsed kulud </t>
    </r>
    <r>
      <rPr>
        <b/>
        <sz val="11"/>
        <color indexed="8"/>
        <rFont val="Times New Roman"/>
        <family val="1"/>
      </rPr>
      <t xml:space="preserve">(täistsükli koolid (09220)) </t>
    </r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</si>
  <si>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Annelinna Gümnaasium (Kaunase pst 68)</t>
    </r>
  </si>
  <si>
    <t>M.Härma Gümnaasium (Tõnissoni 3)</t>
  </si>
  <si>
    <t>Eakate hoolekande asutused</t>
  </si>
  <si>
    <t xml:space="preserve">
Hooldekodule majandusinventari soetus</t>
  </si>
  <si>
    <t>Tähtvere Päevakeskusele majandusinventari soetus</t>
  </si>
  <si>
    <t>Laste ja noorte hoolekande asutused</t>
  </si>
  <si>
    <t xml:space="preserve"> toetus Mäe kodu (Mäe 33) rekonstrueerimise projektile</t>
  </si>
  <si>
    <t>Laste Turvakodu õueala inventari soetamine</t>
  </si>
  <si>
    <t>Eskiisi koostamine Jaama 72 II korruse kohandamiseks lasteaiale</t>
  </si>
  <si>
    <t>Kohandatud eluruumide eskiisprojekti koostamine</t>
  </si>
  <si>
    <t>seisuga 30.06.2016</t>
  </si>
  <si>
    <t>juuni</t>
  </si>
  <si>
    <t>Projekteerimised, sh</t>
  </si>
  <si>
    <t xml:space="preserve">   Sõpruse silla käsipuud ja kõnnitee remont</t>
  </si>
  <si>
    <t xml:space="preserve">   Tugimaantee 40 Tartu-Tiksoja äärne    jalgrattatee</t>
  </si>
  <si>
    <t xml:space="preserve">   Lootuse tn</t>
  </si>
  <si>
    <t>Riia-Lunini ristmikule lisafoori paigaldamine</t>
  </si>
  <si>
    <t>Osalemine Smart EN City projektis (linnakeskkonna tark ja säästev kujundamine)</t>
  </si>
  <si>
    <t xml:space="preserve">   Muu keskkonnakaitse - 
</t>
  </si>
  <si>
    <t xml:space="preserve">
Purrete paigaldamine Emajõe kallasrajale</t>
  </si>
  <si>
    <t>Purrete paigaldamine Emajõe kallasrajale</t>
  </si>
  <si>
    <t>K.J.Petersoni Gümnaasium</t>
  </si>
  <si>
    <t>Info-ja kommunikatsiooniseadmed</t>
  </si>
  <si>
    <t>Hoonete remont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</si>
</sst>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  <numFmt numFmtId="167" formatCode="_(* #,##0.00_);_(* \(#,##0.00\);_(* &quot;-&quot;??_);_(@_)"/>
    <numFmt numFmtId="168" formatCode="\ #,##0.00&quot;     &quot;;\-#,##0.00&quot;     &quot;;&quot; -&quot;#&quot;     &quot;;@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2"/>
      <name val="Times New Roman"/>
      <family val="1"/>
    </font>
    <font>
      <sz val="11"/>
      <color indexed="62"/>
      <name val="Times New Roman"/>
      <family val="1"/>
    </font>
    <font>
      <b/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59" fillId="52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53" borderId="2" applyNumberFormat="0" applyAlignment="0" applyProtection="0"/>
    <xf numFmtId="0" fontId="22" fillId="53" borderId="2" applyNumberFormat="0" applyAlignment="0" applyProtection="0"/>
    <xf numFmtId="0" fontId="27" fillId="54" borderId="3" applyNumberFormat="0" applyAlignment="0" applyProtection="0"/>
    <xf numFmtId="0" fontId="27" fillId="54" borderId="3" applyNumberFormat="0" applyAlignment="0" applyProtection="0"/>
    <xf numFmtId="167" fontId="9" fillId="0" borderId="0" applyFont="0" applyFill="0" applyBorder="0" applyAlignment="0" applyProtection="0"/>
    <xf numFmtId="168" fontId="4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7" borderId="8" applyNumberFormat="0" applyAlignment="0" applyProtection="0"/>
    <xf numFmtId="0" fontId="6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66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61" borderId="12" applyNumberFormat="0" applyAlignment="0" applyProtection="0"/>
    <xf numFmtId="0" fontId="9" fillId="61" borderId="12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68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2" borderId="18" applyNumberFormat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72" borderId="0" applyNumberFormat="0" applyBorder="0" applyAlignment="0" applyProtection="0"/>
    <xf numFmtId="0" fontId="35" fillId="19" borderId="2" applyNumberFormat="0" applyAlignment="0" applyProtection="0"/>
    <xf numFmtId="0" fontId="36" fillId="73" borderId="13" applyNumberFormat="0" applyAlignment="0" applyProtection="0"/>
    <xf numFmtId="0" fontId="22" fillId="73" borderId="2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74" borderId="3" applyNumberFormat="0" applyAlignment="0" applyProtection="0"/>
    <xf numFmtId="0" fontId="30" fillId="0" borderId="0" applyNumberFormat="0" applyFill="0" applyBorder="0" applyAlignment="0" applyProtection="0"/>
    <xf numFmtId="0" fontId="29" fillId="75" borderId="0" applyNumberFormat="0" applyBorder="0" applyAlignment="0" applyProtection="0"/>
    <xf numFmtId="0" fontId="2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76" borderId="12" applyNumberFormat="0" applyFont="0" applyAlignment="0" applyProtection="0"/>
    <xf numFmtId="0" fontId="2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7" fillId="0" borderId="0" xfId="585" applyFont="1" applyAlignment="1">
      <alignment vertical="center"/>
      <protection/>
    </xf>
    <xf numFmtId="0" fontId="4" fillId="58" borderId="19" xfId="585" applyFont="1" applyFill="1" applyBorder="1" applyAlignment="1">
      <alignment horizontal="left" vertical="center"/>
      <protection/>
    </xf>
    <xf numFmtId="0" fontId="18" fillId="58" borderId="19" xfId="625" applyFont="1" applyFill="1" applyBorder="1" applyAlignment="1">
      <alignment vertical="center"/>
      <protection/>
    </xf>
    <xf numFmtId="0" fontId="15" fillId="0" borderId="0" xfId="625" applyFont="1" applyFill="1" applyBorder="1" applyAlignment="1">
      <alignment horizontal="left" vertical="center"/>
      <protection/>
    </xf>
    <xf numFmtId="0" fontId="5" fillId="0" borderId="0" xfId="625" applyFont="1" applyFill="1" applyBorder="1" applyAlignment="1">
      <alignment vertical="center"/>
      <protection/>
    </xf>
    <xf numFmtId="0" fontId="5" fillId="0" borderId="0" xfId="585" applyFont="1" applyFill="1" applyBorder="1" applyAlignment="1">
      <alignment vertical="center"/>
      <protection/>
    </xf>
    <xf numFmtId="0" fontId="4" fillId="58" borderId="20" xfId="625" applyFont="1" applyFill="1" applyBorder="1" applyAlignment="1">
      <alignment horizontal="left" vertical="center"/>
      <protection/>
    </xf>
    <xf numFmtId="0" fontId="18" fillId="58" borderId="20" xfId="625" applyFont="1" applyFill="1" applyBorder="1" applyAlignment="1">
      <alignment vertical="center"/>
      <protection/>
    </xf>
    <xf numFmtId="0" fontId="5" fillId="0" borderId="0" xfId="625" applyFont="1" applyFill="1" applyBorder="1" applyAlignment="1">
      <alignment horizontal="left" vertical="center"/>
      <protection/>
    </xf>
    <xf numFmtId="0" fontId="15" fillId="0" borderId="0" xfId="625" applyFont="1" applyFill="1" applyBorder="1" applyAlignment="1">
      <alignment vertical="center"/>
      <protection/>
    </xf>
    <xf numFmtId="0" fontId="15" fillId="77" borderId="0" xfId="625" applyFont="1" applyFill="1" applyBorder="1" applyAlignment="1">
      <alignment horizontal="left" vertical="center"/>
      <protection/>
    </xf>
    <xf numFmtId="0" fontId="5" fillId="77" borderId="0" xfId="625" applyFont="1" applyFill="1" applyBorder="1" applyAlignment="1">
      <alignment vertical="center"/>
      <protection/>
    </xf>
    <xf numFmtId="0" fontId="7" fillId="77" borderId="0" xfId="625" applyFont="1" applyFill="1" applyBorder="1" applyAlignment="1">
      <alignment horizontal="left" vertical="center"/>
      <protection/>
    </xf>
    <xf numFmtId="0" fontId="15" fillId="0" borderId="0" xfId="585" applyFont="1" applyFill="1" applyBorder="1" applyAlignment="1">
      <alignment horizontal="left" vertical="center"/>
      <protection/>
    </xf>
    <xf numFmtId="49" fontId="15" fillId="77" borderId="0" xfId="625" applyNumberFormat="1" applyFont="1" applyFill="1" applyBorder="1" applyAlignment="1">
      <alignment horizontal="left" vertical="center"/>
      <protection/>
    </xf>
    <xf numFmtId="0" fontId="5" fillId="77" borderId="0" xfId="625" applyFont="1" applyFill="1" applyBorder="1" applyAlignment="1">
      <alignment horizontal="left" vertical="center"/>
      <protection/>
    </xf>
    <xf numFmtId="0" fontId="5" fillId="58" borderId="0" xfId="625" applyFont="1" applyFill="1" applyBorder="1" applyAlignment="1">
      <alignment horizontal="left" vertical="center"/>
      <protection/>
    </xf>
    <xf numFmtId="0" fontId="5" fillId="58" borderId="0" xfId="585" applyFont="1" applyFill="1" applyBorder="1" applyAlignment="1">
      <alignment vertical="center"/>
      <protection/>
    </xf>
    <xf numFmtId="0" fontId="5" fillId="58" borderId="0" xfId="625" applyFont="1" applyFill="1" applyBorder="1" applyAlignment="1">
      <alignment vertical="center"/>
      <protection/>
    </xf>
    <xf numFmtId="3" fontId="20" fillId="58" borderId="0" xfId="585" applyNumberFormat="1" applyFont="1" applyFill="1" applyBorder="1" applyAlignment="1" applyProtection="1">
      <alignment vertical="center"/>
      <protection/>
    </xf>
    <xf numFmtId="3" fontId="18" fillId="78" borderId="0" xfId="625" applyNumberFormat="1" applyFont="1" applyFill="1" applyBorder="1" applyAlignment="1" applyProtection="1">
      <alignment vertical="center"/>
      <protection/>
    </xf>
    <xf numFmtId="0" fontId="9" fillId="0" borderId="0" xfId="562">
      <alignment/>
      <protection/>
    </xf>
    <xf numFmtId="0" fontId="2" fillId="0" borderId="0" xfId="562" applyFont="1" applyFill="1" applyBorder="1">
      <alignment/>
      <protection/>
    </xf>
    <xf numFmtId="0" fontId="2" fillId="0" borderId="0" xfId="562" applyFont="1" applyFill="1" applyAlignment="1">
      <alignment horizontal="center"/>
      <protection/>
    </xf>
    <xf numFmtId="0" fontId="74" fillId="0" borderId="0" xfId="562" applyFont="1" applyFill="1">
      <alignment/>
      <protection/>
    </xf>
    <xf numFmtId="0" fontId="2" fillId="0" borderId="0" xfId="562" applyFont="1" applyFill="1">
      <alignment/>
      <protection/>
    </xf>
    <xf numFmtId="1" fontId="2" fillId="0" borderId="0" xfId="562" applyNumberFormat="1" applyFont="1" applyFill="1" applyAlignment="1">
      <alignment horizontal="center"/>
      <protection/>
    </xf>
    <xf numFmtId="0" fontId="3" fillId="0" borderId="0" xfId="562" applyFont="1" applyFill="1" applyBorder="1" applyAlignment="1">
      <alignment wrapText="1"/>
      <protection/>
    </xf>
    <xf numFmtId="0" fontId="5" fillId="0" borderId="0" xfId="562" applyFont="1" applyFill="1" applyBorder="1" applyAlignment="1">
      <alignment horizontal="center" wrapText="1"/>
      <protection/>
    </xf>
    <xf numFmtId="3" fontId="75" fillId="0" borderId="0" xfId="562" applyNumberFormat="1" applyFont="1" applyFill="1" applyBorder="1">
      <alignment/>
      <protection/>
    </xf>
    <xf numFmtId="1" fontId="16" fillId="0" borderId="0" xfId="562" applyNumberFormat="1" applyFont="1" applyBorder="1" applyAlignment="1">
      <alignment horizontal="right" vertical="center"/>
      <protection/>
    </xf>
    <xf numFmtId="0" fontId="2" fillId="0" borderId="0" xfId="562" applyFont="1" applyFill="1" applyBorder="1" applyAlignment="1">
      <alignment vertical="center"/>
      <protection/>
    </xf>
    <xf numFmtId="0" fontId="2" fillId="0" borderId="21" xfId="562" applyFont="1" applyFill="1" applyBorder="1" applyAlignment="1">
      <alignment vertical="center"/>
      <protection/>
    </xf>
    <xf numFmtId="0" fontId="3" fillId="0" borderId="22" xfId="562" applyFont="1" applyBorder="1" applyAlignment="1">
      <alignment vertical="center" wrapText="1"/>
      <protection/>
    </xf>
    <xf numFmtId="0" fontId="5" fillId="0" borderId="23" xfId="562" applyFont="1" applyBorder="1" applyAlignment="1">
      <alignment horizontal="center" vertical="center" wrapText="1"/>
      <protection/>
    </xf>
    <xf numFmtId="3" fontId="5" fillId="0" borderId="23" xfId="562" applyNumberFormat="1" applyFont="1" applyBorder="1" applyAlignment="1">
      <alignment horizontal="center" vertical="center" wrapText="1"/>
      <protection/>
    </xf>
    <xf numFmtId="3" fontId="3" fillId="0" borderId="23" xfId="562" applyNumberFormat="1" applyFont="1" applyFill="1" applyBorder="1" applyAlignment="1">
      <alignment horizontal="right" vertical="center"/>
      <protection/>
    </xf>
    <xf numFmtId="0" fontId="2" fillId="0" borderId="24" xfId="562" applyFont="1" applyFill="1" applyBorder="1" applyAlignment="1">
      <alignment vertical="center"/>
      <protection/>
    </xf>
    <xf numFmtId="0" fontId="74" fillId="0" borderId="0" xfId="562" applyFont="1" applyFill="1" applyAlignment="1">
      <alignment vertical="center"/>
      <protection/>
    </xf>
    <xf numFmtId="0" fontId="2" fillId="0" borderId="0" xfId="562" applyFont="1" applyFill="1" applyAlignment="1">
      <alignment vertical="center"/>
      <protection/>
    </xf>
    <xf numFmtId="0" fontId="2" fillId="0" borderId="25" xfId="562" applyFont="1" applyBorder="1" applyAlignment="1">
      <alignment wrapText="1"/>
      <protection/>
    </xf>
    <xf numFmtId="0" fontId="5" fillId="0" borderId="26" xfId="562" applyFont="1" applyBorder="1" applyAlignment="1">
      <alignment horizontal="center" wrapText="1"/>
      <protection/>
    </xf>
    <xf numFmtId="3" fontId="2" fillId="0" borderId="26" xfId="562" applyNumberFormat="1" applyFont="1" applyFill="1" applyBorder="1">
      <alignment/>
      <protection/>
    </xf>
    <xf numFmtId="0" fontId="2" fillId="0" borderId="24" xfId="562" applyFont="1" applyFill="1" applyBorder="1">
      <alignment/>
      <protection/>
    </xf>
    <xf numFmtId="3" fontId="5" fillId="0" borderId="26" xfId="562" applyNumberFormat="1" applyFont="1" applyBorder="1" applyAlignment="1">
      <alignment horizontal="center" wrapText="1"/>
      <protection/>
    </xf>
    <xf numFmtId="0" fontId="2" fillId="0" borderId="27" xfId="562" applyFont="1" applyFill="1" applyBorder="1" applyAlignment="1">
      <alignment wrapText="1"/>
      <protection/>
    </xf>
    <xf numFmtId="0" fontId="5" fillId="0" borderId="28" xfId="562" applyFont="1" applyFill="1" applyBorder="1" applyAlignment="1">
      <alignment horizontal="center" wrapText="1"/>
      <protection/>
    </xf>
    <xf numFmtId="0" fontId="2" fillId="0" borderId="19" xfId="562" applyFont="1" applyFill="1" applyBorder="1" applyAlignment="1">
      <alignment vertical="center"/>
      <protection/>
    </xf>
    <xf numFmtId="0" fontId="2" fillId="0" borderId="29" xfId="562" applyFont="1" applyFill="1" applyBorder="1" applyAlignment="1">
      <alignment vertical="center" wrapText="1"/>
      <protection/>
    </xf>
    <xf numFmtId="0" fontId="5" fillId="0" borderId="30" xfId="562" applyFont="1" applyFill="1" applyBorder="1" applyAlignment="1">
      <alignment horizontal="center" vertical="center" wrapText="1"/>
      <protection/>
    </xf>
    <xf numFmtId="3" fontId="2" fillId="0" borderId="30" xfId="562" applyNumberFormat="1" applyFont="1" applyFill="1" applyBorder="1" applyAlignment="1">
      <alignment vertical="center"/>
      <protection/>
    </xf>
    <xf numFmtId="0" fontId="2" fillId="0" borderId="31" xfId="562" applyFont="1" applyFill="1" applyBorder="1" applyAlignment="1">
      <alignment vertical="center"/>
      <protection/>
    </xf>
    <xf numFmtId="0" fontId="37" fillId="0" borderId="0" xfId="562" applyFont="1" applyFill="1" applyBorder="1" applyAlignment="1">
      <alignment vertical="center"/>
      <protection/>
    </xf>
    <xf numFmtId="0" fontId="76" fillId="0" borderId="0" xfId="562" applyFont="1" applyFill="1" applyAlignment="1">
      <alignment vertical="center"/>
      <protection/>
    </xf>
    <xf numFmtId="0" fontId="37" fillId="0" borderId="0" xfId="562" applyFont="1" applyFill="1" applyAlignment="1">
      <alignment vertical="center"/>
      <protection/>
    </xf>
    <xf numFmtId="0" fontId="3" fillId="0" borderId="22" xfId="562" applyFont="1" applyFill="1" applyBorder="1" applyAlignment="1">
      <alignment vertical="center" wrapText="1"/>
      <protection/>
    </xf>
    <xf numFmtId="0" fontId="5" fillId="0" borderId="23" xfId="562" applyFont="1" applyFill="1" applyBorder="1" applyAlignment="1">
      <alignment horizontal="center" vertical="center" wrapText="1"/>
      <protection/>
    </xf>
    <xf numFmtId="3" fontId="3" fillId="0" borderId="23" xfId="562" applyNumberFormat="1" applyFont="1" applyFill="1" applyBorder="1" applyAlignment="1">
      <alignment vertical="center"/>
      <protection/>
    </xf>
    <xf numFmtId="0" fontId="2" fillId="0" borderId="32" xfId="562" applyFont="1" applyFill="1" applyBorder="1" applyAlignment="1">
      <alignment vertical="center"/>
      <protection/>
    </xf>
    <xf numFmtId="0" fontId="6" fillId="0" borderId="33" xfId="562" applyFont="1" applyFill="1" applyBorder="1" applyAlignment="1">
      <alignment horizontal="left" wrapText="1"/>
      <protection/>
    </xf>
    <xf numFmtId="0" fontId="5" fillId="0" borderId="34" xfId="562" applyFont="1" applyFill="1" applyBorder="1" applyAlignment="1">
      <alignment horizontal="center" wrapText="1"/>
      <protection/>
    </xf>
    <xf numFmtId="3" fontId="6" fillId="0" borderId="34" xfId="562" applyNumberFormat="1" applyFont="1" applyFill="1" applyBorder="1">
      <alignment/>
      <protection/>
    </xf>
    <xf numFmtId="0" fontId="2" fillId="0" borderId="0" xfId="562" applyFont="1" applyFill="1" applyBorder="1" applyAlignment="1">
      <alignment/>
      <protection/>
    </xf>
    <xf numFmtId="0" fontId="2" fillId="0" borderId="25" xfId="562" applyFont="1" applyFill="1" applyBorder="1" applyAlignment="1">
      <alignment wrapText="1"/>
      <protection/>
    </xf>
    <xf numFmtId="0" fontId="5" fillId="0" borderId="26" xfId="562" applyFont="1" applyFill="1" applyBorder="1" applyAlignment="1">
      <alignment horizontal="center" wrapText="1"/>
      <protection/>
    </xf>
    <xf numFmtId="3" fontId="2" fillId="0" borderId="28" xfId="562" applyNumberFormat="1" applyFont="1" applyFill="1" applyBorder="1">
      <alignment/>
      <protection/>
    </xf>
    <xf numFmtId="0" fontId="2" fillId="0" borderId="35" xfId="562" applyFont="1" applyFill="1" applyBorder="1" applyAlignment="1">
      <alignment horizontal="left" wrapText="1"/>
      <protection/>
    </xf>
    <xf numFmtId="0" fontId="38" fillId="0" borderId="36" xfId="562" applyFont="1" applyFill="1" applyBorder="1" applyAlignment="1">
      <alignment horizontal="center" wrapText="1"/>
      <protection/>
    </xf>
    <xf numFmtId="3" fontId="6" fillId="0" borderId="36" xfId="562" applyNumberFormat="1" applyFont="1" applyFill="1" applyBorder="1">
      <alignment/>
      <protection/>
    </xf>
    <xf numFmtId="49" fontId="3" fillId="0" borderId="22" xfId="562" applyNumberFormat="1" applyFont="1" applyFill="1" applyBorder="1" applyAlignment="1">
      <alignment vertical="center" wrapText="1"/>
      <protection/>
    </xf>
    <xf numFmtId="49" fontId="5" fillId="0" borderId="23" xfId="562" applyNumberFormat="1" applyFont="1" applyFill="1" applyBorder="1" applyAlignment="1">
      <alignment horizontal="center" vertical="center" wrapText="1"/>
      <protection/>
    </xf>
    <xf numFmtId="0" fontId="2" fillId="0" borderId="0" xfId="562" applyFont="1" applyFill="1" applyBorder="1" applyAlignment="1">
      <alignment horizontal="left"/>
      <protection/>
    </xf>
    <xf numFmtId="49" fontId="2" fillId="0" borderId="33" xfId="562" applyNumberFormat="1" applyFont="1" applyFill="1" applyBorder="1" applyAlignment="1">
      <alignment horizontal="left" wrapText="1"/>
      <protection/>
    </xf>
    <xf numFmtId="49" fontId="5" fillId="0" borderId="26" xfId="562" applyNumberFormat="1" applyFont="1" applyFill="1" applyBorder="1" applyAlignment="1">
      <alignment horizontal="center" wrapText="1"/>
      <protection/>
    </xf>
    <xf numFmtId="0" fontId="74" fillId="0" borderId="0" xfId="562" applyFont="1" applyFill="1" applyBorder="1">
      <alignment/>
      <protection/>
    </xf>
    <xf numFmtId="49" fontId="5" fillId="0" borderId="36" xfId="562" applyNumberFormat="1" applyFont="1" applyFill="1" applyBorder="1" applyAlignment="1">
      <alignment horizontal="center" wrapText="1"/>
      <protection/>
    </xf>
    <xf numFmtId="3" fontId="6" fillId="79" borderId="36" xfId="562" applyNumberFormat="1" applyFont="1" applyFill="1" applyBorder="1">
      <alignment/>
      <protection/>
    </xf>
    <xf numFmtId="49" fontId="3" fillId="0" borderId="25" xfId="562" applyNumberFormat="1" applyFont="1" applyFill="1" applyBorder="1" applyAlignment="1">
      <alignment horizontal="right" wrapText="1"/>
      <protection/>
    </xf>
    <xf numFmtId="3" fontId="3" fillId="0" borderId="26" xfId="562" applyNumberFormat="1" applyFont="1" applyFill="1" applyBorder="1">
      <alignment/>
      <protection/>
    </xf>
    <xf numFmtId="49" fontId="2" fillId="0" borderId="27" xfId="562" applyNumberFormat="1" applyFont="1" applyFill="1" applyBorder="1" applyAlignment="1">
      <alignment wrapText="1"/>
      <protection/>
    </xf>
    <xf numFmtId="49" fontId="5" fillId="0" borderId="28" xfId="562" applyNumberFormat="1" applyFont="1" applyFill="1" applyBorder="1" applyAlignment="1">
      <alignment horizontal="center" wrapText="1"/>
      <protection/>
    </xf>
    <xf numFmtId="49" fontId="2" fillId="8" borderId="27" xfId="562" applyNumberFormat="1" applyFont="1" applyFill="1" applyBorder="1" applyAlignment="1">
      <alignment wrapText="1"/>
      <protection/>
    </xf>
    <xf numFmtId="49" fontId="5" fillId="8" borderId="28" xfId="562" applyNumberFormat="1" applyFont="1" applyFill="1" applyBorder="1" applyAlignment="1">
      <alignment horizontal="center" wrapText="1"/>
      <protection/>
    </xf>
    <xf numFmtId="3" fontId="2" fillId="8" borderId="28" xfId="562" applyNumberFormat="1" applyFont="1" applyFill="1" applyBorder="1">
      <alignment/>
      <protection/>
    </xf>
    <xf numFmtId="49" fontId="2" fillId="0" borderId="27" xfId="562" applyNumberFormat="1" applyFont="1" applyFill="1" applyBorder="1" applyAlignment="1">
      <alignment horizontal="left" wrapText="1"/>
      <protection/>
    </xf>
    <xf numFmtId="3" fontId="3" fillId="0" borderId="28" xfId="562" applyNumberFormat="1" applyFont="1" applyFill="1" applyBorder="1">
      <alignment/>
      <protection/>
    </xf>
    <xf numFmtId="49" fontId="2" fillId="8" borderId="27" xfId="562" applyNumberFormat="1" applyFont="1" applyFill="1" applyBorder="1" applyAlignment="1">
      <alignment horizontal="left" wrapText="1"/>
      <protection/>
    </xf>
    <xf numFmtId="49" fontId="5" fillId="0" borderId="34" xfId="562" applyNumberFormat="1" applyFont="1" applyFill="1" applyBorder="1" applyAlignment="1">
      <alignment horizontal="center" wrapText="1"/>
      <protection/>
    </xf>
    <xf numFmtId="0" fontId="2" fillId="0" borderId="27" xfId="562" applyFont="1" applyFill="1" applyBorder="1">
      <alignment/>
      <protection/>
    </xf>
    <xf numFmtId="49" fontId="3" fillId="0" borderId="27" xfId="562" applyNumberFormat="1" applyFont="1" applyFill="1" applyBorder="1" applyAlignment="1">
      <alignment wrapText="1"/>
      <protection/>
    </xf>
    <xf numFmtId="49" fontId="6" fillId="0" borderId="35" xfId="562" applyNumberFormat="1" applyFont="1" applyFill="1" applyBorder="1" applyAlignment="1">
      <alignment wrapText="1"/>
      <protection/>
    </xf>
    <xf numFmtId="3" fontId="3" fillId="0" borderId="36" xfId="562" applyNumberFormat="1" applyFont="1" applyFill="1" applyBorder="1">
      <alignment/>
      <protection/>
    </xf>
    <xf numFmtId="49" fontId="2" fillId="0" borderId="35" xfId="562" applyNumberFormat="1" applyFont="1" applyFill="1" applyBorder="1" applyAlignment="1">
      <alignment wrapText="1"/>
      <protection/>
    </xf>
    <xf numFmtId="3" fontId="6" fillId="0" borderId="36" xfId="562" applyNumberFormat="1" applyFont="1" applyFill="1" applyBorder="1" applyAlignment="1">
      <alignment/>
      <protection/>
    </xf>
    <xf numFmtId="0" fontId="2" fillId="0" borderId="24" xfId="562" applyFont="1" applyFill="1" applyBorder="1" applyAlignment="1">
      <alignment/>
      <protection/>
    </xf>
    <xf numFmtId="0" fontId="74" fillId="0" borderId="0" xfId="562" applyFont="1" applyFill="1" applyBorder="1" applyAlignment="1">
      <alignment/>
      <protection/>
    </xf>
    <xf numFmtId="3" fontId="2" fillId="0" borderId="36" xfId="562" applyNumberFormat="1" applyFont="1" applyFill="1" applyBorder="1" applyAlignment="1">
      <alignment/>
      <protection/>
    </xf>
    <xf numFmtId="0" fontId="2" fillId="0" borderId="35" xfId="584" applyFont="1" applyBorder="1" applyAlignment="1">
      <alignment wrapText="1"/>
      <protection/>
    </xf>
    <xf numFmtId="49" fontId="38" fillId="0" borderId="36" xfId="562" applyNumberFormat="1" applyFont="1" applyFill="1" applyBorder="1" applyAlignment="1">
      <alignment horizontal="center" wrapText="1"/>
      <protection/>
    </xf>
    <xf numFmtId="49" fontId="2" fillId="0" borderId="25" xfId="562" applyNumberFormat="1" applyFont="1" applyFill="1" applyBorder="1" applyAlignment="1">
      <alignment wrapText="1"/>
      <protection/>
    </xf>
    <xf numFmtId="3" fontId="2" fillId="0" borderId="26" xfId="562" applyNumberFormat="1" applyFont="1" applyFill="1" applyBorder="1" applyAlignment="1">
      <alignment/>
      <protection/>
    </xf>
    <xf numFmtId="0" fontId="74" fillId="0" borderId="0" xfId="562" applyFont="1" applyFill="1" applyAlignment="1">
      <alignment/>
      <protection/>
    </xf>
    <xf numFmtId="0" fontId="2" fillId="0" borderId="0" xfId="562" applyFont="1" applyFill="1" applyAlignment="1">
      <alignment/>
      <protection/>
    </xf>
    <xf numFmtId="3" fontId="2" fillId="0" borderId="28" xfId="562" applyNumberFormat="1" applyFont="1" applyFill="1" applyBorder="1" applyAlignment="1">
      <alignment/>
      <protection/>
    </xf>
    <xf numFmtId="0" fontId="2" fillId="0" borderId="19" xfId="562" applyFont="1" applyFill="1" applyBorder="1">
      <alignment/>
      <protection/>
    </xf>
    <xf numFmtId="49" fontId="2" fillId="0" borderId="29" xfId="562" applyNumberFormat="1" applyFont="1" applyFill="1" applyBorder="1" applyAlignment="1">
      <alignment wrapText="1"/>
      <protection/>
    </xf>
    <xf numFmtId="49" fontId="5" fillId="0" borderId="30" xfId="562" applyNumberFormat="1" applyFont="1" applyFill="1" applyBorder="1" applyAlignment="1">
      <alignment horizontal="center" wrapText="1"/>
      <protection/>
    </xf>
    <xf numFmtId="3" fontId="2" fillId="0" borderId="30" xfId="562" applyNumberFormat="1" applyFont="1" applyFill="1" applyBorder="1">
      <alignment/>
      <protection/>
    </xf>
    <xf numFmtId="0" fontId="2" fillId="0" borderId="31" xfId="562" applyFont="1" applyFill="1" applyBorder="1">
      <alignment/>
      <protection/>
    </xf>
    <xf numFmtId="0" fontId="74" fillId="0" borderId="0" xfId="562" applyFont="1" applyFill="1" applyBorder="1" applyAlignment="1">
      <alignment vertical="center"/>
      <protection/>
    </xf>
    <xf numFmtId="0" fontId="3" fillId="0" borderId="33" xfId="562" applyFont="1" applyFill="1" applyBorder="1" applyAlignment="1">
      <alignment vertical="center" wrapText="1"/>
      <protection/>
    </xf>
    <xf numFmtId="0" fontId="5" fillId="0" borderId="26" xfId="562" applyFont="1" applyFill="1" applyBorder="1" applyAlignment="1">
      <alignment horizontal="center" vertical="center" wrapText="1"/>
      <protection/>
    </xf>
    <xf numFmtId="3" fontId="6" fillId="0" borderId="34" xfId="562" applyNumberFormat="1" applyFont="1" applyFill="1" applyBorder="1" applyAlignment="1">
      <alignment vertical="center"/>
      <protection/>
    </xf>
    <xf numFmtId="0" fontId="3" fillId="0" borderId="0" xfId="562" applyFont="1" applyFill="1" applyBorder="1" applyAlignment="1">
      <alignment vertical="center"/>
      <protection/>
    </xf>
    <xf numFmtId="0" fontId="6" fillId="0" borderId="35" xfId="562" applyFont="1" applyFill="1" applyBorder="1" applyAlignment="1">
      <alignment vertical="center" wrapText="1"/>
      <protection/>
    </xf>
    <xf numFmtId="3" fontId="6" fillId="0" borderId="36" xfId="562" applyNumberFormat="1" applyFont="1" applyFill="1" applyBorder="1" applyAlignment="1">
      <alignment vertical="center"/>
      <protection/>
    </xf>
    <xf numFmtId="0" fontId="3" fillId="0" borderId="24" xfId="562" applyFont="1" applyFill="1" applyBorder="1" applyAlignment="1">
      <alignment vertical="center"/>
      <protection/>
    </xf>
    <xf numFmtId="0" fontId="77" fillId="0" borderId="0" xfId="562" applyFont="1" applyFill="1" applyBorder="1" applyAlignment="1">
      <alignment vertical="center"/>
      <protection/>
    </xf>
    <xf numFmtId="0" fontId="3" fillId="0" borderId="35" xfId="562" applyFont="1" applyFill="1" applyBorder="1" applyAlignment="1">
      <alignment wrapText="1"/>
      <protection/>
    </xf>
    <xf numFmtId="0" fontId="5" fillId="0" borderId="36" xfId="562" applyFont="1" applyFill="1" applyBorder="1" applyAlignment="1">
      <alignment horizontal="center" wrapText="1"/>
      <protection/>
    </xf>
    <xf numFmtId="0" fontId="2" fillId="0" borderId="27" xfId="562" applyFont="1" applyBorder="1" applyAlignment="1">
      <alignment wrapText="1"/>
      <protection/>
    </xf>
    <xf numFmtId="0" fontId="2" fillId="8" borderId="27" xfId="562" applyFont="1" applyFill="1" applyBorder="1" applyAlignment="1">
      <alignment wrapText="1"/>
      <protection/>
    </xf>
    <xf numFmtId="0" fontId="5" fillId="8" borderId="28" xfId="562" applyFont="1" applyFill="1" applyBorder="1" applyAlignment="1">
      <alignment horizontal="center" wrapText="1"/>
      <protection/>
    </xf>
    <xf numFmtId="0" fontId="2" fillId="0" borderId="27" xfId="562" applyFont="1" applyFill="1" applyBorder="1" applyAlignment="1">
      <alignment vertical="center" wrapText="1"/>
      <protection/>
    </xf>
    <xf numFmtId="0" fontId="5" fillId="0" borderId="28" xfId="562" applyFont="1" applyFill="1" applyBorder="1" applyAlignment="1">
      <alignment horizontal="center" vertical="center" wrapText="1"/>
      <protection/>
    </xf>
    <xf numFmtId="3" fontId="2" fillId="0" borderId="28" xfId="562" applyNumberFormat="1" applyFont="1" applyFill="1" applyBorder="1" applyAlignment="1">
      <alignment vertical="center"/>
      <protection/>
    </xf>
    <xf numFmtId="3" fontId="40" fillId="8" borderId="30" xfId="562" applyNumberFormat="1" applyFont="1" applyFill="1" applyBorder="1" applyAlignment="1">
      <alignment vertical="center"/>
      <protection/>
    </xf>
    <xf numFmtId="49" fontId="6" fillId="0" borderId="33" xfId="562" applyNumberFormat="1" applyFont="1" applyFill="1" applyBorder="1" applyAlignment="1">
      <alignment wrapText="1"/>
      <protection/>
    </xf>
    <xf numFmtId="3" fontId="2" fillId="0" borderId="36" xfId="562" applyNumberFormat="1" applyFont="1" applyFill="1" applyBorder="1">
      <alignment/>
      <protection/>
    </xf>
    <xf numFmtId="0" fontId="16" fillId="0" borderId="0" xfId="562" applyFont="1" applyFill="1" applyBorder="1">
      <alignment/>
      <protection/>
    </xf>
    <xf numFmtId="49" fontId="16" fillId="0" borderId="33" xfId="562" applyNumberFormat="1" applyFont="1" applyFill="1" applyBorder="1" applyAlignment="1">
      <alignment horizontal="right" wrapText="1"/>
      <protection/>
    </xf>
    <xf numFmtId="49" fontId="38" fillId="0" borderId="34" xfId="562" applyNumberFormat="1" applyFont="1" applyFill="1" applyBorder="1" applyAlignment="1">
      <alignment horizontal="center" wrapText="1"/>
      <protection/>
    </xf>
    <xf numFmtId="3" fontId="16" fillId="0" borderId="34" xfId="562" applyNumberFormat="1" applyFont="1" applyFill="1" applyBorder="1">
      <alignment/>
      <protection/>
    </xf>
    <xf numFmtId="0" fontId="16" fillId="0" borderId="24" xfId="562" applyFont="1" applyFill="1" applyBorder="1">
      <alignment/>
      <protection/>
    </xf>
    <xf numFmtId="0" fontId="78" fillId="0" borderId="0" xfId="562" applyFont="1" applyFill="1">
      <alignment/>
      <protection/>
    </xf>
    <xf numFmtId="0" fontId="16" fillId="0" borderId="0" xfId="562" applyFont="1" applyFill="1">
      <alignment/>
      <protection/>
    </xf>
    <xf numFmtId="49" fontId="2" fillId="0" borderId="27" xfId="562" applyNumberFormat="1" applyFont="1" applyFill="1" applyBorder="1" applyAlignment="1">
      <alignment vertical="center" wrapText="1"/>
      <protection/>
    </xf>
    <xf numFmtId="49" fontId="5" fillId="0" borderId="28" xfId="562" applyNumberFormat="1" applyFont="1" applyFill="1" applyBorder="1" applyAlignment="1">
      <alignment horizontal="center" vertical="center" wrapText="1"/>
      <protection/>
    </xf>
    <xf numFmtId="0" fontId="2" fillId="0" borderId="21" xfId="562" applyFont="1" applyFill="1" applyBorder="1" applyAlignment="1">
      <alignment/>
      <protection/>
    </xf>
    <xf numFmtId="49" fontId="3" fillId="0" borderId="22" xfId="562" applyNumberFormat="1" applyFont="1" applyFill="1" applyBorder="1" applyAlignment="1">
      <alignment wrapText="1"/>
      <protection/>
    </xf>
    <xf numFmtId="49" fontId="5" fillId="0" borderId="23" xfId="562" applyNumberFormat="1" applyFont="1" applyFill="1" applyBorder="1" applyAlignment="1">
      <alignment horizontal="center" wrapText="1"/>
      <protection/>
    </xf>
    <xf numFmtId="3" fontId="3" fillId="0" borderId="23" xfId="562" applyNumberFormat="1" applyFont="1" applyFill="1" applyBorder="1" applyAlignment="1">
      <alignment/>
      <protection/>
    </xf>
    <xf numFmtId="0" fontId="2" fillId="0" borderId="32" xfId="562" applyFont="1" applyFill="1" applyBorder="1" applyAlignment="1">
      <alignment/>
      <protection/>
    </xf>
    <xf numFmtId="49" fontId="6" fillId="0" borderId="37" xfId="562" applyNumberFormat="1" applyFont="1" applyFill="1" applyBorder="1" applyAlignment="1">
      <alignment vertical="center" wrapText="1"/>
      <protection/>
    </xf>
    <xf numFmtId="49" fontId="5" fillId="0" borderId="38" xfId="562" applyNumberFormat="1" applyFont="1" applyFill="1" applyBorder="1" applyAlignment="1">
      <alignment horizontal="center" vertical="center" wrapText="1"/>
      <protection/>
    </xf>
    <xf numFmtId="3" fontId="6" fillId="0" borderId="38" xfId="562" applyNumberFormat="1" applyFont="1" applyFill="1" applyBorder="1" applyAlignment="1">
      <alignment vertical="center"/>
      <protection/>
    </xf>
    <xf numFmtId="49" fontId="16" fillId="0" borderId="34" xfId="562" applyNumberFormat="1" applyFont="1" applyFill="1" applyBorder="1" applyAlignment="1">
      <alignment horizontal="center" wrapText="1"/>
      <protection/>
    </xf>
    <xf numFmtId="49" fontId="16" fillId="0" borderId="25" xfId="562" applyNumberFormat="1" applyFont="1" applyFill="1" applyBorder="1" applyAlignment="1">
      <alignment horizontal="right" wrapText="1"/>
      <protection/>
    </xf>
    <xf numFmtId="49" fontId="16" fillId="0" borderId="26" xfId="562" applyNumberFormat="1" applyFont="1" applyFill="1" applyBorder="1" applyAlignment="1">
      <alignment horizontal="center" wrapText="1"/>
      <protection/>
    </xf>
    <xf numFmtId="3" fontId="16" fillId="0" borderId="26" xfId="562" applyNumberFormat="1" applyFont="1" applyFill="1" applyBorder="1">
      <alignment/>
      <protection/>
    </xf>
    <xf numFmtId="0" fontId="16" fillId="0" borderId="0" xfId="562" applyFont="1" applyFill="1" applyBorder="1" applyAlignment="1">
      <alignment vertical="center"/>
      <protection/>
    </xf>
    <xf numFmtId="49" fontId="16" fillId="0" borderId="25" xfId="562" applyNumberFormat="1" applyFont="1" applyFill="1" applyBorder="1" applyAlignment="1">
      <alignment horizontal="right" vertical="center" wrapText="1"/>
      <protection/>
    </xf>
    <xf numFmtId="49" fontId="16" fillId="0" borderId="26" xfId="562" applyNumberFormat="1" applyFont="1" applyFill="1" applyBorder="1" applyAlignment="1">
      <alignment horizontal="center" vertical="center" wrapText="1"/>
      <protection/>
    </xf>
    <xf numFmtId="3" fontId="16" fillId="0" borderId="26" xfId="562" applyNumberFormat="1" applyFont="1" applyFill="1" applyBorder="1" applyAlignment="1">
      <alignment vertical="center"/>
      <protection/>
    </xf>
    <xf numFmtId="0" fontId="16" fillId="0" borderId="24" xfId="562" applyFont="1" applyFill="1" applyBorder="1" applyAlignment="1">
      <alignment vertical="center"/>
      <protection/>
    </xf>
    <xf numFmtId="0" fontId="78" fillId="0" borderId="0" xfId="562" applyFont="1" applyFill="1" applyAlignment="1">
      <alignment vertical="center"/>
      <protection/>
    </xf>
    <xf numFmtId="0" fontId="16" fillId="0" borderId="0" xfId="562" applyFont="1" applyFill="1" applyAlignment="1">
      <alignment vertical="center"/>
      <protection/>
    </xf>
    <xf numFmtId="49" fontId="2" fillId="0" borderId="25" xfId="562" applyNumberFormat="1" applyFont="1" applyFill="1" applyBorder="1" applyAlignment="1">
      <alignment horizontal="left" wrapText="1"/>
      <protection/>
    </xf>
    <xf numFmtId="49" fontId="2" fillId="0" borderId="34" xfId="562" applyNumberFormat="1" applyFont="1" applyFill="1" applyBorder="1" applyAlignment="1">
      <alignment horizontal="center" wrapText="1"/>
      <protection/>
    </xf>
    <xf numFmtId="49" fontId="2" fillId="0" borderId="27" xfId="562" applyNumberFormat="1" applyFont="1" applyFill="1" applyBorder="1" applyAlignment="1">
      <alignment horizontal="left" vertical="center" wrapText="1"/>
      <protection/>
    </xf>
    <xf numFmtId="0" fontId="2" fillId="0" borderId="27" xfId="584" applyFont="1" applyBorder="1" applyAlignment="1">
      <alignment vertical="center" wrapText="1"/>
      <protection/>
    </xf>
    <xf numFmtId="0" fontId="2" fillId="0" borderId="27" xfId="584" applyFont="1" applyBorder="1" applyAlignment="1">
      <alignment wrapText="1"/>
      <protection/>
    </xf>
    <xf numFmtId="0" fontId="2" fillId="0" borderId="25" xfId="584" applyFont="1" applyBorder="1" applyAlignment="1">
      <alignment horizontal="left" wrapText="1"/>
      <protection/>
    </xf>
    <xf numFmtId="0" fontId="2" fillId="0" borderId="27" xfId="584" applyFont="1" applyBorder="1" applyAlignment="1">
      <alignment horizontal="left" wrapText="1"/>
      <protection/>
    </xf>
    <xf numFmtId="49" fontId="6" fillId="0" borderId="35" xfId="562" applyNumberFormat="1" applyFont="1" applyFill="1" applyBorder="1" applyAlignment="1">
      <alignment vertical="center" wrapText="1"/>
      <protection/>
    </xf>
    <xf numFmtId="3" fontId="2" fillId="0" borderId="36" xfId="562" applyNumberFormat="1" applyFont="1" applyFill="1" applyBorder="1" applyAlignment="1">
      <alignment vertical="center"/>
      <protection/>
    </xf>
    <xf numFmtId="49" fontId="2" fillId="0" borderId="35" xfId="562" applyNumberFormat="1" applyFont="1" applyFill="1" applyBorder="1" applyAlignment="1">
      <alignment vertical="center" wrapText="1"/>
      <protection/>
    </xf>
    <xf numFmtId="49" fontId="5" fillId="0" borderId="30" xfId="562" applyNumberFormat="1" applyFont="1" applyFill="1" applyBorder="1" applyAlignment="1">
      <alignment horizontal="center" vertical="center" wrapText="1"/>
      <protection/>
    </xf>
    <xf numFmtId="0" fontId="6" fillId="0" borderId="33" xfId="562" applyFont="1" applyFill="1" applyBorder="1" applyAlignment="1">
      <alignment wrapText="1"/>
      <protection/>
    </xf>
    <xf numFmtId="0" fontId="2" fillId="0" borderId="35" xfId="562" applyFont="1" applyFill="1" applyBorder="1" applyAlignment="1">
      <alignment wrapText="1"/>
      <protection/>
    </xf>
    <xf numFmtId="0" fontId="16" fillId="0" borderId="33" xfId="562" applyFont="1" applyFill="1" applyBorder="1" applyAlignment="1">
      <alignment horizontal="right" wrapText="1"/>
      <protection/>
    </xf>
    <xf numFmtId="0" fontId="16" fillId="0" borderId="34" xfId="562" applyFont="1" applyFill="1" applyBorder="1" applyAlignment="1">
      <alignment horizontal="center" wrapText="1"/>
      <protection/>
    </xf>
    <xf numFmtId="0" fontId="78" fillId="0" borderId="0" xfId="562" applyFont="1" applyFill="1" applyBorder="1">
      <alignment/>
      <protection/>
    </xf>
    <xf numFmtId="0" fontId="16" fillId="8" borderId="33" xfId="562" applyFont="1" applyFill="1" applyBorder="1" applyAlignment="1">
      <alignment horizontal="right" wrapText="1"/>
      <protection/>
    </xf>
    <xf numFmtId="0" fontId="16" fillId="8" borderId="34" xfId="562" applyFont="1" applyFill="1" applyBorder="1" applyAlignment="1">
      <alignment horizontal="center" wrapText="1"/>
      <protection/>
    </xf>
    <xf numFmtId="3" fontId="16" fillId="8" borderId="34" xfId="562" applyNumberFormat="1" applyFont="1" applyFill="1" applyBorder="1">
      <alignment/>
      <protection/>
    </xf>
    <xf numFmtId="0" fontId="2" fillId="0" borderId="33" xfId="562" applyFont="1" applyFill="1" applyBorder="1" applyAlignment="1">
      <alignment wrapText="1"/>
      <protection/>
    </xf>
    <xf numFmtId="3" fontId="2" fillId="0" borderId="34" xfId="562" applyNumberFormat="1" applyFont="1" applyFill="1" applyBorder="1">
      <alignment/>
      <protection/>
    </xf>
    <xf numFmtId="0" fontId="16" fillId="8" borderId="25" xfId="562" applyFont="1" applyFill="1" applyBorder="1" applyAlignment="1">
      <alignment horizontal="right" wrapText="1"/>
      <protection/>
    </xf>
    <xf numFmtId="0" fontId="16" fillId="8" borderId="26" xfId="562" applyFont="1" applyFill="1" applyBorder="1" applyAlignment="1">
      <alignment horizontal="center" wrapText="1"/>
      <protection/>
    </xf>
    <xf numFmtId="3" fontId="16" fillId="8" borderId="26" xfId="562" applyNumberFormat="1" applyFont="1" applyFill="1" applyBorder="1">
      <alignment/>
      <protection/>
    </xf>
    <xf numFmtId="0" fontId="2" fillId="0" borderId="27" xfId="562" applyFont="1" applyFill="1" applyBorder="1" applyAlignment="1">
      <alignment horizontal="left" wrapText="1"/>
      <protection/>
    </xf>
    <xf numFmtId="0" fontId="2" fillId="0" borderId="27" xfId="562" applyFont="1" applyFill="1" applyBorder="1" applyAlignment="1">
      <alignment horizontal="left" vertical="center" wrapText="1"/>
      <protection/>
    </xf>
    <xf numFmtId="0" fontId="5" fillId="0" borderId="36" xfId="562" applyFont="1" applyFill="1" applyBorder="1" applyAlignment="1">
      <alignment horizontal="center" vertical="center" wrapText="1"/>
      <protection/>
    </xf>
    <xf numFmtId="0" fontId="10" fillId="0" borderId="35" xfId="562" applyFont="1" applyFill="1" applyBorder="1" applyAlignment="1">
      <alignment vertical="center" wrapText="1"/>
      <protection/>
    </xf>
    <xf numFmtId="0" fontId="16" fillId="0" borderId="26" xfId="562" applyFont="1" applyFill="1" applyBorder="1" applyAlignment="1">
      <alignment horizontal="center" wrapText="1"/>
      <protection/>
    </xf>
    <xf numFmtId="3" fontId="41" fillId="0" borderId="34" xfId="562" applyNumberFormat="1" applyFont="1" applyFill="1" applyBorder="1">
      <alignment/>
      <protection/>
    </xf>
    <xf numFmtId="0" fontId="8" fillId="0" borderId="35" xfId="562" applyFont="1" applyFill="1" applyBorder="1" applyAlignment="1">
      <alignment vertical="center" wrapText="1"/>
      <protection/>
    </xf>
    <xf numFmtId="0" fontId="12" fillId="0" borderId="26" xfId="562" applyFont="1" applyFill="1" applyBorder="1" applyAlignment="1">
      <alignment horizontal="center" vertical="center" wrapText="1"/>
      <protection/>
    </xf>
    <xf numFmtId="3" fontId="10" fillId="0" borderId="36" xfId="562" applyNumberFormat="1" applyFont="1" applyFill="1" applyBorder="1" applyAlignment="1">
      <alignment vertical="center"/>
      <protection/>
    </xf>
    <xf numFmtId="3" fontId="42" fillId="0" borderId="36" xfId="562" applyNumberFormat="1" applyFont="1" applyFill="1" applyBorder="1" applyAlignment="1">
      <alignment vertical="center"/>
      <protection/>
    </xf>
    <xf numFmtId="0" fontId="12" fillId="0" borderId="36" xfId="562" applyFont="1" applyFill="1" applyBorder="1" applyAlignment="1">
      <alignment horizontal="center" wrapText="1"/>
      <protection/>
    </xf>
    <xf numFmtId="0" fontId="12" fillId="0" borderId="26" xfId="562" applyFont="1" applyFill="1" applyBorder="1" applyAlignment="1">
      <alignment horizontal="center" wrapText="1"/>
      <protection/>
    </xf>
    <xf numFmtId="0" fontId="8" fillId="0" borderId="27" xfId="562" applyFont="1" applyFill="1" applyBorder="1" applyAlignment="1">
      <alignment vertical="center" wrapText="1"/>
      <protection/>
    </xf>
    <xf numFmtId="0" fontId="12" fillId="0" borderId="28" xfId="562" applyFont="1" applyFill="1" applyBorder="1" applyAlignment="1">
      <alignment horizontal="center" vertical="center" wrapText="1"/>
      <protection/>
    </xf>
    <xf numFmtId="0" fontId="6" fillId="0" borderId="35" xfId="562" applyFont="1" applyFill="1" applyBorder="1" applyAlignment="1">
      <alignment wrapText="1"/>
      <protection/>
    </xf>
    <xf numFmtId="0" fontId="2" fillId="8" borderId="25" xfId="562" applyFont="1" applyFill="1" applyBorder="1" applyAlignment="1">
      <alignment wrapText="1"/>
      <protection/>
    </xf>
    <xf numFmtId="0" fontId="5" fillId="8" borderId="26" xfId="562" applyFont="1" applyFill="1" applyBorder="1" applyAlignment="1">
      <alignment horizontal="center" wrapText="1"/>
      <protection/>
    </xf>
    <xf numFmtId="3" fontId="2" fillId="8" borderId="26" xfId="562" applyNumberFormat="1" applyFont="1" applyFill="1" applyBorder="1">
      <alignment/>
      <protection/>
    </xf>
    <xf numFmtId="3" fontId="79" fillId="0" borderId="34" xfId="562" applyNumberFormat="1" applyFont="1" applyFill="1" applyBorder="1">
      <alignment/>
      <protection/>
    </xf>
    <xf numFmtId="0" fontId="16" fillId="0" borderId="19" xfId="562" applyFont="1" applyFill="1" applyBorder="1">
      <alignment/>
      <protection/>
    </xf>
    <xf numFmtId="0" fontId="16" fillId="0" borderId="31" xfId="562" applyFont="1" applyFill="1" applyBorder="1">
      <alignment/>
      <protection/>
    </xf>
    <xf numFmtId="0" fontId="3" fillId="0" borderId="25" xfId="562" applyFont="1" applyFill="1" applyBorder="1" applyAlignment="1">
      <alignment vertical="center" wrapText="1"/>
      <protection/>
    </xf>
    <xf numFmtId="3" fontId="6" fillId="0" borderId="26" xfId="562" applyNumberFormat="1" applyFont="1" applyFill="1" applyBorder="1" applyAlignment="1">
      <alignment vertical="center"/>
      <protection/>
    </xf>
    <xf numFmtId="3" fontId="6" fillId="0" borderId="28" xfId="562" applyNumberFormat="1" applyFont="1" applyFill="1" applyBorder="1" applyAlignment="1">
      <alignment vertical="center"/>
      <protection/>
    </xf>
    <xf numFmtId="0" fontId="6" fillId="0" borderId="27" xfId="562" applyFont="1" applyFill="1" applyBorder="1" applyAlignment="1">
      <alignment vertical="center" wrapText="1"/>
      <protection/>
    </xf>
    <xf numFmtId="0" fontId="6" fillId="0" borderId="35" xfId="562" applyFont="1" applyBorder="1">
      <alignment/>
      <protection/>
    </xf>
    <xf numFmtId="0" fontId="2" fillId="0" borderId="25" xfId="562" applyFont="1" applyBorder="1">
      <alignment/>
      <protection/>
    </xf>
    <xf numFmtId="0" fontId="38" fillId="0" borderId="26" xfId="562" applyFont="1" applyFill="1" applyBorder="1" applyAlignment="1">
      <alignment horizontal="center" wrapText="1"/>
      <protection/>
    </xf>
    <xf numFmtId="0" fontId="2" fillId="0" borderId="31" xfId="562" applyFont="1" applyFill="1" applyBorder="1" applyAlignment="1">
      <alignment vertical="center" wrapText="1"/>
      <protection/>
    </xf>
    <xf numFmtId="1" fontId="2" fillId="0" borderId="0" xfId="562" applyNumberFormat="1" applyFont="1" applyFill="1">
      <alignment/>
      <protection/>
    </xf>
    <xf numFmtId="0" fontId="2" fillId="0" borderId="0" xfId="562" applyFont="1" applyFill="1" applyAlignment="1">
      <alignment wrapText="1"/>
      <protection/>
    </xf>
    <xf numFmtId="0" fontId="5" fillId="0" borderId="0" xfId="562" applyFont="1" applyFill="1" applyAlignment="1">
      <alignment horizontal="center" wrapText="1"/>
      <protection/>
    </xf>
    <xf numFmtId="164" fontId="2" fillId="0" borderId="0" xfId="562" applyNumberFormat="1" applyFont="1" applyFill="1" applyBorder="1">
      <alignment/>
      <protection/>
    </xf>
    <xf numFmtId="3" fontId="20" fillId="0" borderId="0" xfId="625" applyNumberFormat="1" applyFont="1" applyFill="1" applyBorder="1" applyAlignment="1" applyProtection="1">
      <alignment vertical="center"/>
      <protection locked="0"/>
    </xf>
    <xf numFmtId="3" fontId="19" fillId="58" borderId="20" xfId="625" applyNumberFormat="1" applyFont="1" applyFill="1" applyBorder="1" applyAlignment="1" applyProtection="1">
      <alignment vertical="center"/>
      <protection/>
    </xf>
    <xf numFmtId="3" fontId="19" fillId="58" borderId="39" xfId="625" applyNumberFormat="1" applyFont="1" applyFill="1" applyBorder="1" applyAlignment="1" applyProtection="1">
      <alignment vertical="center"/>
      <protection/>
    </xf>
    <xf numFmtId="3" fontId="20" fillId="0" borderId="0" xfId="625" applyNumberFormat="1" applyFont="1" applyFill="1" applyBorder="1" applyAlignment="1" applyProtection="1">
      <alignment vertical="center"/>
      <protection/>
    </xf>
    <xf numFmtId="3" fontId="20" fillId="11" borderId="0" xfId="625" applyNumberFormat="1" applyFont="1" applyFill="1" applyBorder="1" applyAlignment="1" applyProtection="1">
      <alignment vertical="center"/>
      <protection locked="0"/>
    </xf>
    <xf numFmtId="3" fontId="20" fillId="77" borderId="0" xfId="625" applyNumberFormat="1" applyFont="1" applyFill="1" applyBorder="1" applyAlignment="1" applyProtection="1">
      <alignment vertical="center"/>
      <protection locked="0"/>
    </xf>
    <xf numFmtId="3" fontId="15" fillId="0" borderId="0" xfId="585" applyNumberFormat="1" applyFont="1" applyFill="1" applyBorder="1" applyAlignment="1">
      <alignment vertical="center"/>
      <protection/>
    </xf>
    <xf numFmtId="3" fontId="15" fillId="0" borderId="0" xfId="625" applyNumberFormat="1" applyFont="1" applyFill="1" applyBorder="1" applyAlignment="1" applyProtection="1">
      <alignment vertical="center"/>
      <protection/>
    </xf>
    <xf numFmtId="3" fontId="2" fillId="0" borderId="0" xfId="562" applyNumberFormat="1" applyFont="1" applyFill="1" applyAlignment="1">
      <alignment vertical="center"/>
      <protection/>
    </xf>
    <xf numFmtId="3" fontId="2" fillId="0" borderId="0" xfId="562" applyNumberFormat="1" applyFont="1" applyFill="1">
      <alignment/>
      <protection/>
    </xf>
    <xf numFmtId="0" fontId="10" fillId="0" borderId="33" xfId="562" applyFont="1" applyFill="1" applyBorder="1" applyAlignment="1">
      <alignment vertical="center" wrapText="1"/>
      <protection/>
    </xf>
    <xf numFmtId="0" fontId="16" fillId="0" borderId="37" xfId="562" applyFont="1" applyFill="1" applyBorder="1" applyAlignment="1">
      <alignment horizontal="right" wrapText="1"/>
      <protection/>
    </xf>
    <xf numFmtId="0" fontId="16" fillId="0" borderId="38" xfId="562" applyFont="1" applyFill="1" applyBorder="1" applyAlignment="1">
      <alignment horizontal="center" wrapText="1"/>
      <protection/>
    </xf>
    <xf numFmtId="3" fontId="79" fillId="0" borderId="38" xfId="562" applyNumberFormat="1" applyFont="1" applyFill="1" applyBorder="1">
      <alignment/>
      <protection/>
    </xf>
    <xf numFmtId="0" fontId="7" fillId="0" borderId="0" xfId="562" applyFont="1" applyFill="1" applyBorder="1" applyAlignment="1">
      <alignment horizontal="right"/>
      <protection/>
    </xf>
    <xf numFmtId="0" fontId="2" fillId="8" borderId="35" xfId="562" applyFont="1" applyFill="1" applyBorder="1" applyAlignment="1">
      <alignment wrapText="1"/>
      <protection/>
    </xf>
    <xf numFmtId="3" fontId="79" fillId="8" borderId="34" xfId="562" applyNumberFormat="1" applyFont="1" applyFill="1" applyBorder="1">
      <alignment/>
      <protection/>
    </xf>
    <xf numFmtId="3" fontId="80" fillId="8" borderId="34" xfId="562" applyNumberFormat="1" applyFont="1" applyFill="1" applyBorder="1">
      <alignment/>
      <protection/>
    </xf>
    <xf numFmtId="0" fontId="2" fillId="8" borderId="0" xfId="562" applyFont="1" applyFill="1" applyBorder="1">
      <alignment/>
      <protection/>
    </xf>
    <xf numFmtId="0" fontId="3" fillId="0" borderId="0" xfId="585" applyFont="1" applyAlignment="1">
      <alignment vertical="center"/>
      <protection/>
    </xf>
    <xf numFmtId="0" fontId="13" fillId="0" borderId="0" xfId="585" applyFont="1" applyFill="1" applyAlignment="1" applyProtection="1">
      <alignment vertical="center"/>
      <protection locked="0"/>
    </xf>
    <xf numFmtId="0" fontId="7" fillId="0" borderId="0" xfId="585" applyFont="1" applyAlignment="1" applyProtection="1">
      <alignment vertical="center"/>
      <protection locked="0"/>
    </xf>
    <xf numFmtId="4" fontId="47" fillId="0" borderId="0" xfId="585" applyNumberFormat="1" applyFont="1" applyBorder="1" applyAlignment="1" applyProtection="1">
      <alignment vertical="center"/>
      <protection locked="0"/>
    </xf>
    <xf numFmtId="14" fontId="7" fillId="0" borderId="0" xfId="585" applyNumberFormat="1" applyFont="1" applyAlignment="1">
      <alignment vertical="center"/>
      <protection/>
    </xf>
    <xf numFmtId="3" fontId="15" fillId="0" borderId="0" xfId="562" applyNumberFormat="1" applyFont="1">
      <alignment/>
      <protection/>
    </xf>
    <xf numFmtId="9" fontId="15" fillId="0" borderId="0" xfId="562" applyNumberFormat="1" applyFont="1">
      <alignment/>
      <protection/>
    </xf>
    <xf numFmtId="0" fontId="2" fillId="0" borderId="40" xfId="562" applyFont="1" applyFill="1" applyBorder="1" applyAlignment="1">
      <alignment vertical="center"/>
      <protection/>
    </xf>
    <xf numFmtId="0" fontId="2" fillId="0" borderId="40" xfId="562" applyFont="1" applyFill="1" applyBorder="1">
      <alignment/>
      <protection/>
    </xf>
    <xf numFmtId="0" fontId="2" fillId="0" borderId="41" xfId="562" applyFont="1" applyFill="1" applyBorder="1" applyAlignment="1">
      <alignment vertical="center"/>
      <protection/>
    </xf>
    <xf numFmtId="0" fontId="2" fillId="0" borderId="42" xfId="562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 horizontal="right"/>
      <protection/>
    </xf>
    <xf numFmtId="3" fontId="2" fillId="0" borderId="0" xfId="562" applyNumberFormat="1" applyFont="1" applyFill="1" applyBorder="1">
      <alignment/>
      <protection/>
    </xf>
    <xf numFmtId="49" fontId="3" fillId="0" borderId="27" xfId="562" applyNumberFormat="1" applyFont="1" applyFill="1" applyBorder="1" applyAlignment="1">
      <alignment horizontal="left" wrapText="1"/>
      <protection/>
    </xf>
    <xf numFmtId="0" fontId="2" fillId="0" borderId="40" xfId="562" applyFont="1" applyFill="1" applyBorder="1" applyAlignment="1">
      <alignment/>
      <protection/>
    </xf>
    <xf numFmtId="3" fontId="2" fillId="0" borderId="0" xfId="562" applyNumberFormat="1" applyFont="1" applyFill="1" applyAlignment="1">
      <alignment/>
      <protection/>
    </xf>
    <xf numFmtId="0" fontId="3" fillId="0" borderId="40" xfId="562" applyFont="1" applyFill="1" applyBorder="1" applyAlignment="1">
      <alignment vertical="center"/>
      <protection/>
    </xf>
    <xf numFmtId="0" fontId="16" fillId="0" borderId="40" xfId="562" applyFont="1" applyFill="1" applyBorder="1">
      <alignment/>
      <protection/>
    </xf>
    <xf numFmtId="3" fontId="16" fillId="0" borderId="0" xfId="562" applyNumberFormat="1" applyFont="1" applyFill="1">
      <alignment/>
      <protection/>
    </xf>
    <xf numFmtId="0" fontId="2" fillId="0" borderId="41" xfId="562" applyFont="1" applyFill="1" applyBorder="1">
      <alignment/>
      <protection/>
    </xf>
    <xf numFmtId="0" fontId="2" fillId="0" borderId="42" xfId="562" applyFont="1" applyFill="1" applyBorder="1" applyAlignment="1">
      <alignment/>
      <protection/>
    </xf>
    <xf numFmtId="0" fontId="16" fillId="0" borderId="40" xfId="562" applyFont="1" applyFill="1" applyBorder="1" applyAlignment="1">
      <alignment vertical="center"/>
      <protection/>
    </xf>
    <xf numFmtId="3" fontId="39" fillId="0" borderId="36" xfId="562" applyNumberFormat="1" applyFont="1" applyFill="1" applyBorder="1" applyAlignment="1">
      <alignment vertical="center"/>
      <protection/>
    </xf>
    <xf numFmtId="0" fontId="16" fillId="0" borderId="41" xfId="562" applyFont="1" applyFill="1" applyBorder="1">
      <alignment/>
      <protection/>
    </xf>
    <xf numFmtId="0" fontId="5" fillId="0" borderId="0" xfId="562" applyFont="1" applyFill="1" applyAlignment="1">
      <alignment horizontal="center"/>
      <protection/>
    </xf>
    <xf numFmtId="3" fontId="2" fillId="0" borderId="43" xfId="562" applyNumberFormat="1" applyFont="1" applyFill="1" applyBorder="1">
      <alignment/>
      <protection/>
    </xf>
    <xf numFmtId="3" fontId="2" fillId="0" borderId="44" xfId="562" applyNumberFormat="1" applyFont="1" applyFill="1" applyBorder="1">
      <alignment/>
      <protection/>
    </xf>
    <xf numFmtId="3" fontId="2" fillId="0" borderId="45" xfId="562" applyNumberFormat="1" applyFont="1" applyFill="1" applyBorder="1">
      <alignment/>
      <protection/>
    </xf>
    <xf numFmtId="3" fontId="2" fillId="0" borderId="46" xfId="562" applyNumberFormat="1" applyFont="1" applyFill="1" applyBorder="1" applyAlignment="1">
      <alignment vertical="center"/>
      <protection/>
    </xf>
    <xf numFmtId="49" fontId="6" fillId="0" borderId="33" xfId="562" applyNumberFormat="1" applyFont="1" applyFill="1" applyBorder="1" applyAlignment="1">
      <alignment vertical="center" wrapText="1"/>
      <protection/>
    </xf>
    <xf numFmtId="49" fontId="5" fillId="0" borderId="34" xfId="562" applyNumberFormat="1" applyFont="1" applyFill="1" applyBorder="1" applyAlignment="1">
      <alignment horizontal="center" vertical="center" wrapText="1"/>
      <protection/>
    </xf>
    <xf numFmtId="3" fontId="3" fillId="0" borderId="34" xfId="562" applyNumberFormat="1" applyFont="1" applyFill="1" applyBorder="1" applyAlignment="1">
      <alignment vertical="center"/>
      <protection/>
    </xf>
    <xf numFmtId="3" fontId="39" fillId="0" borderId="45" xfId="562" applyNumberFormat="1" applyFont="1" applyFill="1" applyBorder="1">
      <alignment/>
      <protection/>
    </xf>
    <xf numFmtId="49" fontId="3" fillId="0" borderId="33" xfId="562" applyNumberFormat="1" applyFont="1" applyFill="1" applyBorder="1" applyAlignment="1">
      <alignment horizontal="left" wrapText="1"/>
      <protection/>
    </xf>
    <xf numFmtId="3" fontId="6" fillId="79" borderId="34" xfId="562" applyNumberFormat="1" applyFont="1" applyFill="1" applyBorder="1">
      <alignment/>
      <protection/>
    </xf>
    <xf numFmtId="3" fontId="74" fillId="0" borderId="0" xfId="562" applyNumberFormat="1" applyFont="1" applyFill="1" applyBorder="1">
      <alignment/>
      <protection/>
    </xf>
    <xf numFmtId="3" fontId="74" fillId="0" borderId="0" xfId="562" applyNumberFormat="1" applyFont="1" applyFill="1">
      <alignment/>
      <protection/>
    </xf>
    <xf numFmtId="3" fontId="2" fillId="8" borderId="44" xfId="562" applyNumberFormat="1" applyFont="1" applyFill="1" applyBorder="1">
      <alignment/>
      <protection/>
    </xf>
    <xf numFmtId="3" fontId="3" fillId="0" borderId="44" xfId="562" applyNumberFormat="1" applyFont="1" applyFill="1" applyBorder="1">
      <alignment/>
      <protection/>
    </xf>
    <xf numFmtId="49" fontId="5" fillId="8" borderId="36" xfId="562" applyNumberFormat="1" applyFont="1" applyFill="1" applyBorder="1" applyAlignment="1">
      <alignment horizontal="center" wrapText="1"/>
      <protection/>
    </xf>
    <xf numFmtId="3" fontId="2" fillId="80" borderId="44" xfId="562" applyNumberFormat="1" applyFont="1" applyFill="1" applyBorder="1">
      <alignment/>
      <protection/>
    </xf>
    <xf numFmtId="3" fontId="2" fillId="81" borderId="28" xfId="562" applyNumberFormat="1" applyFont="1" applyFill="1" applyBorder="1">
      <alignment/>
      <protection/>
    </xf>
    <xf numFmtId="49" fontId="3" fillId="0" borderId="35" xfId="562" applyNumberFormat="1" applyFont="1" applyFill="1" applyBorder="1" applyAlignment="1">
      <alignment wrapText="1"/>
      <protection/>
    </xf>
    <xf numFmtId="3" fontId="3" fillId="0" borderId="47" xfId="562" applyNumberFormat="1" applyFont="1" applyFill="1" applyBorder="1">
      <alignment/>
      <protection/>
    </xf>
    <xf numFmtId="3" fontId="39" fillId="0" borderId="47" xfId="562" applyNumberFormat="1" applyFont="1" applyFill="1" applyBorder="1" applyAlignment="1">
      <alignment/>
      <protection/>
    </xf>
    <xf numFmtId="3" fontId="2" fillId="0" borderId="43" xfId="562" applyNumberFormat="1" applyFont="1" applyFill="1" applyBorder="1" applyAlignment="1">
      <alignment/>
      <protection/>
    </xf>
    <xf numFmtId="3" fontId="2" fillId="0" borderId="44" xfId="562" applyNumberFormat="1" applyFont="1" applyFill="1" applyBorder="1" applyAlignment="1">
      <alignment/>
      <protection/>
    </xf>
    <xf numFmtId="3" fontId="2" fillId="0" borderId="46" xfId="562" applyNumberFormat="1" applyFont="1" applyFill="1" applyBorder="1">
      <alignment/>
      <protection/>
    </xf>
    <xf numFmtId="3" fontId="6" fillId="0" borderId="47" xfId="562" applyNumberFormat="1" applyFont="1" applyFill="1" applyBorder="1" applyAlignment="1">
      <alignment vertical="center"/>
      <protection/>
    </xf>
    <xf numFmtId="3" fontId="2" fillId="0" borderId="44" xfId="562" applyNumberFormat="1" applyFont="1" applyFill="1" applyBorder="1" applyAlignment="1">
      <alignment vertical="center"/>
      <protection/>
    </xf>
    <xf numFmtId="3" fontId="2" fillId="0" borderId="47" xfId="562" applyNumberFormat="1" applyFont="1" applyFill="1" applyBorder="1">
      <alignment/>
      <protection/>
    </xf>
    <xf numFmtId="3" fontId="16" fillId="0" borderId="45" xfId="562" applyNumberFormat="1" applyFont="1" applyFill="1" applyBorder="1">
      <alignment/>
      <protection/>
    </xf>
    <xf numFmtId="3" fontId="3" fillId="0" borderId="48" xfId="562" applyNumberFormat="1" applyFont="1" applyFill="1" applyBorder="1" applyAlignment="1">
      <alignment/>
      <protection/>
    </xf>
    <xf numFmtId="3" fontId="6" fillId="0" borderId="49" xfId="562" applyNumberFormat="1" applyFont="1" applyFill="1" applyBorder="1" applyAlignment="1">
      <alignment vertical="center"/>
      <protection/>
    </xf>
    <xf numFmtId="3" fontId="16" fillId="0" borderId="43" xfId="562" applyNumberFormat="1" applyFont="1" applyFill="1" applyBorder="1">
      <alignment/>
      <protection/>
    </xf>
    <xf numFmtId="3" fontId="16" fillId="0" borderId="43" xfId="562" applyNumberFormat="1" applyFont="1" applyFill="1" applyBorder="1" applyAlignment="1">
      <alignment vertical="center"/>
      <protection/>
    </xf>
    <xf numFmtId="3" fontId="2" fillId="0" borderId="26" xfId="562" applyNumberFormat="1" applyFont="1" applyFill="1" applyBorder="1" applyAlignment="1">
      <alignment vertical="center"/>
      <protection/>
    </xf>
    <xf numFmtId="3" fontId="2" fillId="0" borderId="43" xfId="562" applyNumberFormat="1" applyFont="1" applyFill="1" applyBorder="1" applyAlignment="1">
      <alignment vertical="center"/>
      <protection/>
    </xf>
    <xf numFmtId="0" fontId="2" fillId="8" borderId="27" xfId="584" applyFont="1" applyFill="1" applyBorder="1" applyAlignment="1">
      <alignment horizontal="left" wrapText="1"/>
      <protection/>
    </xf>
    <xf numFmtId="3" fontId="2" fillId="0" borderId="47" xfId="562" applyNumberFormat="1" applyFont="1" applyFill="1" applyBorder="1" applyAlignment="1">
      <alignment vertical="center"/>
      <protection/>
    </xf>
    <xf numFmtId="49" fontId="2" fillId="10" borderId="29" xfId="562" applyNumberFormat="1" applyFont="1" applyFill="1" applyBorder="1" applyAlignment="1">
      <alignment vertical="center" wrapText="1"/>
      <protection/>
    </xf>
    <xf numFmtId="3" fontId="16" fillId="8" borderId="45" xfId="562" applyNumberFormat="1" applyFont="1" applyFill="1" applyBorder="1">
      <alignment/>
      <protection/>
    </xf>
    <xf numFmtId="3" fontId="16" fillId="8" borderId="43" xfId="562" applyNumberFormat="1" applyFont="1" applyFill="1" applyBorder="1">
      <alignment/>
      <protection/>
    </xf>
    <xf numFmtId="3" fontId="39" fillId="0" borderId="47" xfId="562" applyNumberFormat="1" applyFont="1" applyFill="1" applyBorder="1" applyAlignment="1">
      <alignment vertical="center"/>
      <protection/>
    </xf>
    <xf numFmtId="0" fontId="43" fillId="0" borderId="35" xfId="562" applyFont="1" applyFill="1" applyBorder="1" applyAlignment="1">
      <alignment vertical="center" wrapText="1"/>
      <protection/>
    </xf>
    <xf numFmtId="3" fontId="2" fillId="8" borderId="43" xfId="562" applyNumberFormat="1" applyFont="1" applyFill="1" applyBorder="1">
      <alignment/>
      <protection/>
    </xf>
    <xf numFmtId="3" fontId="16" fillId="0" borderId="49" xfId="562" applyNumberFormat="1" applyFont="1" applyFill="1" applyBorder="1">
      <alignment/>
      <protection/>
    </xf>
    <xf numFmtId="3" fontId="6" fillId="0" borderId="43" xfId="562" applyNumberFormat="1" applyFont="1" applyFill="1" applyBorder="1" applyAlignment="1">
      <alignment vertical="center"/>
      <protection/>
    </xf>
    <xf numFmtId="0" fontId="6" fillId="0" borderId="25" xfId="562" applyFont="1" applyFill="1" applyBorder="1" applyAlignment="1">
      <alignment vertical="center" wrapText="1"/>
      <protection/>
    </xf>
    <xf numFmtId="3" fontId="39" fillId="0" borderId="28" xfId="562" applyNumberFormat="1" applyFont="1" applyFill="1" applyBorder="1" applyAlignment="1">
      <alignment vertical="center"/>
      <protection/>
    </xf>
    <xf numFmtId="3" fontId="6" fillId="0" borderId="44" xfId="562" applyNumberFormat="1" applyFont="1" applyFill="1" applyBorder="1" applyAlignment="1">
      <alignment vertical="center"/>
      <protection/>
    </xf>
    <xf numFmtId="0" fontId="2" fillId="8" borderId="35" xfId="562" applyFont="1" applyFill="1" applyBorder="1" applyAlignment="1">
      <alignment vertical="center" wrapText="1"/>
      <protection/>
    </xf>
    <xf numFmtId="0" fontId="5" fillId="8" borderId="28" xfId="562" applyFont="1" applyFill="1" applyBorder="1" applyAlignment="1">
      <alignment horizontal="center" vertical="center" wrapText="1"/>
      <protection/>
    </xf>
    <xf numFmtId="3" fontId="6" fillId="8" borderId="36" xfId="562" applyNumberFormat="1" applyFont="1" applyFill="1" applyBorder="1" applyAlignment="1">
      <alignment vertical="center"/>
      <protection/>
    </xf>
    <xf numFmtId="3" fontId="39" fillId="8" borderId="36" xfId="562" applyNumberFormat="1" applyFont="1" applyFill="1" applyBorder="1" applyAlignment="1">
      <alignment vertical="center"/>
      <protection/>
    </xf>
    <xf numFmtId="3" fontId="6" fillId="8" borderId="47" xfId="562" applyNumberFormat="1" applyFont="1" applyFill="1" applyBorder="1" applyAlignment="1">
      <alignment vertical="center"/>
      <protection/>
    </xf>
    <xf numFmtId="0" fontId="2" fillId="0" borderId="35" xfId="562" applyFont="1" applyFill="1" applyBorder="1" applyAlignment="1">
      <alignment vertical="center" wrapText="1"/>
      <protection/>
    </xf>
    <xf numFmtId="0" fontId="2" fillId="0" borderId="33" xfId="562" applyFont="1" applyBorder="1">
      <alignment/>
      <protection/>
    </xf>
    <xf numFmtId="166" fontId="9" fillId="0" borderId="0" xfId="562" applyNumberFormat="1">
      <alignment/>
      <protection/>
    </xf>
    <xf numFmtId="1" fontId="3" fillId="0" borderId="23" xfId="562" applyNumberFormat="1" applyFont="1" applyFill="1" applyBorder="1" applyAlignment="1">
      <alignment vertical="center"/>
      <protection/>
    </xf>
    <xf numFmtId="1" fontId="2" fillId="0" borderId="26" xfId="562" applyNumberFormat="1" applyFont="1" applyFill="1" applyBorder="1" applyAlignment="1">
      <alignment vertical="center"/>
      <protection/>
    </xf>
    <xf numFmtId="1" fontId="2" fillId="0" borderId="28" xfId="562" applyNumberFormat="1" applyFont="1" applyFill="1" applyBorder="1" applyAlignment="1">
      <alignment vertical="center"/>
      <protection/>
    </xf>
    <xf numFmtId="1" fontId="2" fillId="0" borderId="28" xfId="562" applyNumberFormat="1" applyFont="1" applyFill="1" applyBorder="1" applyAlignment="1">
      <alignment/>
      <protection/>
    </xf>
    <xf numFmtId="1" fontId="2" fillId="0" borderId="30" xfId="562" applyNumberFormat="1" applyFont="1" applyFill="1" applyBorder="1" applyAlignment="1">
      <alignment vertical="center"/>
      <protection/>
    </xf>
    <xf numFmtId="3" fontId="37" fillId="0" borderId="0" xfId="562" applyNumberFormat="1" applyFont="1" applyFill="1" applyAlignment="1">
      <alignment vertical="center"/>
      <protection/>
    </xf>
    <xf numFmtId="1" fontId="3" fillId="0" borderId="34" xfId="562" applyNumberFormat="1" applyFont="1" applyFill="1" applyBorder="1" applyAlignment="1">
      <alignment vertical="center"/>
      <protection/>
    </xf>
    <xf numFmtId="3" fontId="3" fillId="0" borderId="0" xfId="562" applyNumberFormat="1" applyFont="1" applyFill="1">
      <alignment/>
      <protection/>
    </xf>
    <xf numFmtId="1" fontId="3" fillId="0" borderId="36" xfId="562" applyNumberFormat="1" applyFont="1" applyFill="1" applyBorder="1" applyAlignment="1">
      <alignment vertical="center"/>
      <protection/>
    </xf>
    <xf numFmtId="0" fontId="2" fillId="0" borderId="50" xfId="562" applyFont="1" applyFill="1" applyBorder="1" applyAlignment="1">
      <alignment/>
      <protection/>
    </xf>
    <xf numFmtId="1" fontId="2" fillId="0" borderId="34" xfId="562" applyNumberFormat="1" applyFont="1" applyFill="1" applyBorder="1" applyAlignment="1">
      <alignment vertical="center"/>
      <protection/>
    </xf>
    <xf numFmtId="1" fontId="2" fillId="0" borderId="38" xfId="562" applyNumberFormat="1" applyFont="1" applyFill="1" applyBorder="1" applyAlignment="1">
      <alignment vertical="center"/>
      <protection/>
    </xf>
    <xf numFmtId="1" fontId="2" fillId="0" borderId="34" xfId="562" applyNumberFormat="1" applyFont="1" applyFill="1" applyBorder="1" applyAlignment="1">
      <alignment/>
      <protection/>
    </xf>
    <xf numFmtId="1" fontId="3" fillId="0" borderId="26" xfId="562" applyNumberFormat="1" applyFont="1" applyFill="1" applyBorder="1" applyAlignment="1">
      <alignment vertical="center"/>
      <protection/>
    </xf>
    <xf numFmtId="0" fontId="3" fillId="0" borderId="0" xfId="562" applyFont="1" applyFill="1">
      <alignment/>
      <protection/>
    </xf>
    <xf numFmtId="1" fontId="39" fillId="0" borderId="28" xfId="562" applyNumberFormat="1" applyFont="1" applyFill="1" applyBorder="1" applyAlignment="1">
      <alignment vertical="center"/>
      <protection/>
    </xf>
    <xf numFmtId="1" fontId="6" fillId="8" borderId="28" xfId="562" applyNumberFormat="1" applyFont="1" applyFill="1" applyBorder="1" applyAlignment="1">
      <alignment vertical="center"/>
      <protection/>
    </xf>
    <xf numFmtId="1" fontId="6" fillId="0" borderId="28" xfId="562" applyNumberFormat="1" applyFont="1" applyFill="1" applyBorder="1" applyAlignment="1">
      <alignment vertical="center"/>
      <protection/>
    </xf>
    <xf numFmtId="1" fontId="2" fillId="8" borderId="28" xfId="562" applyNumberFormat="1" applyFont="1" applyFill="1" applyBorder="1" applyAlignment="1">
      <alignment vertical="center"/>
      <protection/>
    </xf>
    <xf numFmtId="1" fontId="39" fillId="0" borderId="28" xfId="562" applyNumberFormat="1" applyFont="1" applyFill="1" applyBorder="1" applyAlignment="1">
      <alignment/>
      <protection/>
    </xf>
    <xf numFmtId="1" fontId="3" fillId="0" borderId="28" xfId="562" applyNumberFormat="1" applyFont="1" applyFill="1" applyBorder="1" applyAlignment="1">
      <alignment vertical="center"/>
      <protection/>
    </xf>
    <xf numFmtId="1" fontId="3" fillId="8" borderId="28" xfId="562" applyNumberFormat="1" applyFont="1" applyFill="1" applyBorder="1" applyAlignment="1">
      <alignment vertical="center"/>
      <protection/>
    </xf>
    <xf numFmtId="49" fontId="2" fillId="13" borderId="27" xfId="562" applyNumberFormat="1" applyFont="1" applyFill="1" applyBorder="1" applyAlignment="1">
      <alignment horizontal="left" wrapText="1"/>
      <protection/>
    </xf>
    <xf numFmtId="49" fontId="5" fillId="13" borderId="34" xfId="562" applyNumberFormat="1" applyFont="1" applyFill="1" applyBorder="1" applyAlignment="1">
      <alignment horizontal="center" wrapText="1"/>
      <protection/>
    </xf>
    <xf numFmtId="3" fontId="2" fillId="13" borderId="28" xfId="562" applyNumberFormat="1" applyFont="1" applyFill="1" applyBorder="1">
      <alignment/>
      <protection/>
    </xf>
    <xf numFmtId="3" fontId="2" fillId="13" borderId="44" xfId="562" applyNumberFormat="1" applyFont="1" applyFill="1" applyBorder="1">
      <alignment/>
      <protection/>
    </xf>
    <xf numFmtId="1" fontId="3" fillId="13" borderId="28" xfId="562" applyNumberFormat="1" applyFont="1" applyFill="1" applyBorder="1" applyAlignment="1">
      <alignment vertical="center"/>
      <protection/>
    </xf>
    <xf numFmtId="3" fontId="39" fillId="0" borderId="36" xfId="562" applyNumberFormat="1" applyFont="1" applyFill="1" applyBorder="1" applyAlignment="1">
      <alignment/>
      <protection/>
    </xf>
    <xf numFmtId="1" fontId="2" fillId="0" borderId="36" xfId="562" applyNumberFormat="1" applyFont="1" applyFill="1" applyBorder="1" applyAlignment="1">
      <alignment vertical="center"/>
      <protection/>
    </xf>
    <xf numFmtId="1" fontId="2" fillId="8" borderId="28" xfId="562" applyNumberFormat="1" applyFont="1" applyFill="1" applyBorder="1" applyAlignment="1">
      <alignment/>
      <protection/>
    </xf>
    <xf numFmtId="49" fontId="2" fillId="0" borderId="29" xfId="562" applyNumberFormat="1" applyFont="1" applyFill="1" applyBorder="1" applyAlignment="1">
      <alignment vertical="center" wrapText="1"/>
      <protection/>
    </xf>
    <xf numFmtId="0" fontId="5" fillId="0" borderId="34" xfId="562" applyFont="1" applyFill="1" applyBorder="1" applyAlignment="1">
      <alignment horizontal="center" vertical="center" wrapText="1"/>
      <protection/>
    </xf>
    <xf numFmtId="3" fontId="3" fillId="0" borderId="36" xfId="562" applyNumberFormat="1" applyFont="1" applyFill="1" applyBorder="1" applyAlignment="1">
      <alignment vertical="center"/>
      <protection/>
    </xf>
    <xf numFmtId="0" fontId="2" fillId="8" borderId="29" xfId="562" applyFont="1" applyFill="1" applyBorder="1" applyAlignment="1">
      <alignment vertical="center" wrapText="1"/>
      <protection/>
    </xf>
    <xf numFmtId="0" fontId="5" fillId="8" borderId="38" xfId="562" applyFont="1" applyFill="1" applyBorder="1" applyAlignment="1">
      <alignment horizontal="center" vertical="center" wrapText="1"/>
      <protection/>
    </xf>
    <xf numFmtId="3" fontId="39" fillId="8" borderId="30" xfId="562" applyNumberFormat="1" applyFont="1" applyFill="1" applyBorder="1" applyAlignment="1">
      <alignment vertical="center"/>
      <protection/>
    </xf>
    <xf numFmtId="3" fontId="39" fillId="8" borderId="46" xfId="562" applyNumberFormat="1" applyFont="1" applyFill="1" applyBorder="1" applyAlignment="1">
      <alignment vertical="center"/>
      <protection/>
    </xf>
    <xf numFmtId="0" fontId="2" fillId="80" borderId="33" xfId="562" applyFont="1" applyFill="1" applyBorder="1" applyAlignment="1">
      <alignment vertical="center" wrapText="1"/>
      <protection/>
    </xf>
    <xf numFmtId="0" fontId="5" fillId="80" borderId="34" xfId="562" applyFont="1" applyFill="1" applyBorder="1" applyAlignment="1">
      <alignment horizontal="center" vertical="center" wrapText="1"/>
      <protection/>
    </xf>
    <xf numFmtId="3" fontId="40" fillId="80" borderId="34" xfId="562" applyNumberFormat="1" applyFont="1" applyFill="1" applyBorder="1" applyAlignment="1">
      <alignment vertical="center"/>
      <protection/>
    </xf>
    <xf numFmtId="3" fontId="6" fillId="80" borderId="34" xfId="562" applyNumberFormat="1" applyFont="1" applyFill="1" applyBorder="1" applyAlignment="1">
      <alignment vertical="center"/>
      <protection/>
    </xf>
    <xf numFmtId="3" fontId="39" fillId="80" borderId="45" xfId="562" applyNumberFormat="1" applyFont="1" applyFill="1" applyBorder="1" applyAlignment="1">
      <alignment vertical="center"/>
      <protection/>
    </xf>
    <xf numFmtId="1" fontId="3" fillId="80" borderId="36" xfId="562" applyNumberFormat="1" applyFont="1" applyFill="1" applyBorder="1" applyAlignment="1">
      <alignment vertical="center"/>
      <protection/>
    </xf>
    <xf numFmtId="1" fontId="2" fillId="0" borderId="26" xfId="562" applyNumberFormat="1" applyFont="1" applyFill="1" applyBorder="1" applyAlignment="1">
      <alignment/>
      <protection/>
    </xf>
    <xf numFmtId="1" fontId="2" fillId="0" borderId="36" xfId="562" applyNumberFormat="1" applyFont="1" applyFill="1" applyBorder="1" applyAlignment="1">
      <alignment/>
      <protection/>
    </xf>
    <xf numFmtId="1" fontId="3" fillId="0" borderId="38" xfId="562" applyNumberFormat="1" applyFont="1" applyFill="1" applyBorder="1" applyAlignment="1">
      <alignment vertical="center"/>
      <protection/>
    </xf>
    <xf numFmtId="3" fontId="2" fillId="0" borderId="0" xfId="562" applyNumberFormat="1" applyFont="1" applyFill="1" applyBorder="1" applyAlignment="1">
      <alignment vertical="center"/>
      <protection/>
    </xf>
    <xf numFmtId="49" fontId="2" fillId="0" borderId="28" xfId="562" applyNumberFormat="1" applyFont="1" applyFill="1" applyBorder="1" applyAlignment="1">
      <alignment horizontal="center" wrapText="1"/>
      <protection/>
    </xf>
    <xf numFmtId="1" fontId="3" fillId="8" borderId="34" xfId="562" applyNumberFormat="1" applyFont="1" applyFill="1" applyBorder="1" applyAlignment="1">
      <alignment vertical="center"/>
      <protection/>
    </xf>
    <xf numFmtId="1" fontId="2" fillId="8" borderId="26" xfId="562" applyNumberFormat="1" applyFont="1" applyFill="1" applyBorder="1" applyAlignment="1">
      <alignment vertical="center"/>
      <protection/>
    </xf>
    <xf numFmtId="0" fontId="12" fillId="8" borderId="26" xfId="562" applyFont="1" applyFill="1" applyBorder="1" applyAlignment="1">
      <alignment horizontal="center" wrapText="1"/>
      <protection/>
    </xf>
    <xf numFmtId="1" fontId="39" fillId="0" borderId="36" xfId="562" applyNumberFormat="1" applyFont="1" applyFill="1" applyBorder="1">
      <alignment/>
      <protection/>
    </xf>
    <xf numFmtId="1" fontId="2" fillId="8" borderId="36" xfId="562" applyNumberFormat="1" applyFont="1" applyFill="1" applyBorder="1" applyAlignment="1">
      <alignment vertical="center"/>
      <protection/>
    </xf>
    <xf numFmtId="0" fontId="4" fillId="78" borderId="0" xfId="625" applyFont="1" applyFill="1" applyBorder="1" applyAlignment="1">
      <alignment vertical="center" wrapText="1"/>
      <protection/>
    </xf>
    <xf numFmtId="0" fontId="5" fillId="78" borderId="0" xfId="585" applyFont="1" applyFill="1" applyBorder="1" applyAlignment="1">
      <alignment vertical="center" wrapText="1"/>
      <protection/>
    </xf>
    <xf numFmtId="0" fontId="14" fillId="0" borderId="51" xfId="585" applyFont="1" applyBorder="1" applyAlignment="1">
      <alignment horizontal="center" vertical="center" wrapText="1"/>
      <protection/>
    </xf>
    <xf numFmtId="0" fontId="14" fillId="0" borderId="52" xfId="585" applyFont="1" applyBorder="1" applyAlignment="1">
      <alignment horizontal="center" vertical="center" wrapText="1"/>
      <protection/>
    </xf>
    <xf numFmtId="0" fontId="2" fillId="0" borderId="0" xfId="562" applyFont="1" applyFill="1" applyAlignment="1">
      <alignment horizontal="center"/>
      <protection/>
    </xf>
    <xf numFmtId="0" fontId="37" fillId="0" borderId="0" xfId="562" applyFont="1" applyFill="1" applyBorder="1" applyAlignment="1">
      <alignment horizontal="center" vertical="center"/>
      <protection/>
    </xf>
    <xf numFmtId="0" fontId="2" fillId="0" borderId="0" xfId="562" applyFont="1" applyAlignment="1">
      <alignment horizontal="left" wrapText="1"/>
      <protection/>
    </xf>
    <xf numFmtId="0" fontId="2" fillId="0" borderId="0" xfId="562" applyFont="1" applyAlignment="1">
      <alignment wrapText="1"/>
      <protection/>
    </xf>
    <xf numFmtId="3" fontId="19" fillId="58" borderId="19" xfId="625" applyNumberFormat="1" applyFont="1" applyFill="1" applyBorder="1" applyAlignment="1" applyProtection="1">
      <alignment vertical="center"/>
      <protection/>
    </xf>
    <xf numFmtId="49" fontId="15" fillId="0" borderId="0" xfId="625" applyNumberFormat="1" applyFont="1" applyFill="1" applyBorder="1" applyAlignment="1">
      <alignment horizontal="left" vertical="center"/>
      <protection/>
    </xf>
    <xf numFmtId="0" fontId="15" fillId="0" borderId="53" xfId="625" applyFont="1" applyFill="1" applyBorder="1" applyAlignment="1" applyProtection="1">
      <alignment horizontal="left" vertical="center"/>
      <protection locked="0"/>
    </xf>
    <xf numFmtId="0" fontId="16" fillId="0" borderId="20" xfId="625" applyFont="1" applyFill="1" applyBorder="1" applyAlignment="1" applyProtection="1">
      <alignment horizontal="right" vertical="center"/>
      <protection locked="0"/>
    </xf>
    <xf numFmtId="14" fontId="81" fillId="0" borderId="20" xfId="625" applyNumberFormat="1" applyFont="1" applyFill="1" applyBorder="1" applyAlignment="1" applyProtection="1">
      <alignment horizontal="left" vertical="center"/>
      <protection locked="0"/>
    </xf>
    <xf numFmtId="0" fontId="4" fillId="58" borderId="41" xfId="585" applyFont="1" applyFill="1" applyBorder="1" applyAlignment="1">
      <alignment horizontal="left" vertical="center"/>
      <protection/>
    </xf>
    <xf numFmtId="0" fontId="15" fillId="0" borderId="40" xfId="625" applyFont="1" applyFill="1" applyBorder="1" applyAlignment="1">
      <alignment horizontal="left" vertical="center"/>
      <protection/>
    </xf>
    <xf numFmtId="9" fontId="20" fillId="0" borderId="24" xfId="625" applyNumberFormat="1" applyFont="1" applyFill="1" applyBorder="1" applyAlignment="1" applyProtection="1">
      <alignment vertical="center"/>
      <protection locked="0"/>
    </xf>
    <xf numFmtId="0" fontId="4" fillId="58" borderId="53" xfId="625" applyFont="1" applyFill="1" applyBorder="1" applyAlignment="1">
      <alignment horizontal="left" vertical="center"/>
      <protection/>
    </xf>
    <xf numFmtId="9" fontId="19" fillId="58" borderId="54" xfId="625" applyNumberFormat="1" applyFont="1" applyFill="1" applyBorder="1" applyAlignment="1" applyProtection="1">
      <alignment vertical="center"/>
      <protection/>
    </xf>
    <xf numFmtId="0" fontId="5" fillId="0" borderId="40" xfId="625" applyFont="1" applyFill="1" applyBorder="1" applyAlignment="1">
      <alignment horizontal="left" vertical="center"/>
      <protection/>
    </xf>
    <xf numFmtId="9" fontId="20" fillId="0" borderId="24" xfId="625" applyNumberFormat="1" applyFont="1" applyFill="1" applyBorder="1" applyAlignment="1" applyProtection="1">
      <alignment horizontal="right" vertical="center"/>
      <protection locked="0"/>
    </xf>
    <xf numFmtId="9" fontId="20" fillId="0" borderId="24" xfId="625" applyNumberFormat="1" applyFont="1" applyFill="1" applyBorder="1" applyAlignment="1" applyProtection="1">
      <alignment vertical="center"/>
      <protection/>
    </xf>
    <xf numFmtId="9" fontId="18" fillId="58" borderId="31" xfId="625" applyNumberFormat="1" applyFont="1" applyFill="1" applyBorder="1" applyAlignment="1">
      <alignment vertical="center"/>
      <protection/>
    </xf>
    <xf numFmtId="0" fontId="15" fillId="77" borderId="40" xfId="625" applyFont="1" applyFill="1" applyBorder="1" applyAlignment="1">
      <alignment horizontal="left" vertical="center"/>
      <protection/>
    </xf>
    <xf numFmtId="9" fontId="20" fillId="77" borderId="24" xfId="625" applyNumberFormat="1" applyFont="1" applyFill="1" applyBorder="1" applyAlignment="1" applyProtection="1">
      <alignment vertical="center"/>
      <protection locked="0"/>
    </xf>
    <xf numFmtId="9" fontId="15" fillId="0" borderId="24" xfId="585" applyNumberFormat="1" applyFont="1" applyFill="1" applyBorder="1" applyAlignment="1">
      <alignment vertical="center"/>
      <protection/>
    </xf>
    <xf numFmtId="49" fontId="15" fillId="0" borderId="40" xfId="625" applyNumberFormat="1" applyFont="1" applyFill="1" applyBorder="1" applyAlignment="1">
      <alignment horizontal="left" vertical="center"/>
      <protection/>
    </xf>
    <xf numFmtId="0" fontId="15" fillId="0" borderId="40" xfId="585" applyFont="1" applyFill="1" applyBorder="1" applyAlignment="1">
      <alignment horizontal="left" vertical="center"/>
      <protection/>
    </xf>
    <xf numFmtId="49" fontId="15" fillId="77" borderId="40" xfId="625" applyNumberFormat="1" applyFont="1" applyFill="1" applyBorder="1" applyAlignment="1">
      <alignment horizontal="left" vertical="center"/>
      <protection/>
    </xf>
    <xf numFmtId="9" fontId="20" fillId="77" borderId="24" xfId="625" applyNumberFormat="1" applyFont="1" applyFill="1" applyBorder="1" applyAlignment="1" applyProtection="1">
      <alignment horizontal="right" vertical="center"/>
      <protection locked="0"/>
    </xf>
    <xf numFmtId="49" fontId="15" fillId="58" borderId="40" xfId="625" applyNumberFormat="1" applyFont="1" applyFill="1" applyBorder="1" applyAlignment="1">
      <alignment horizontal="left" vertical="center"/>
      <protection/>
    </xf>
    <xf numFmtId="9" fontId="20" fillId="58" borderId="24" xfId="585" applyNumberFormat="1" applyFont="1" applyFill="1" applyBorder="1" applyAlignment="1" applyProtection="1">
      <alignment vertical="center"/>
      <protection/>
    </xf>
    <xf numFmtId="0" fontId="15" fillId="78" borderId="40" xfId="585" applyFont="1" applyFill="1" applyBorder="1" applyAlignment="1">
      <alignment horizontal="left" vertical="center"/>
      <protection/>
    </xf>
    <xf numFmtId="9" fontId="18" fillId="78" borderId="24" xfId="625" applyNumberFormat="1" applyFont="1" applyFill="1" applyBorder="1" applyAlignment="1" applyProtection="1">
      <alignment vertical="center"/>
      <protection/>
    </xf>
    <xf numFmtId="9" fontId="20" fillId="58" borderId="24" xfId="585" applyNumberFormat="1" applyFont="1" applyFill="1" applyBorder="1" applyAlignment="1" applyProtection="1">
      <alignment horizontal="right" vertical="center"/>
      <protection/>
    </xf>
    <xf numFmtId="49" fontId="15" fillId="58" borderId="41" xfId="625" applyNumberFormat="1" applyFont="1" applyFill="1" applyBorder="1" applyAlignment="1">
      <alignment horizontal="left" vertical="center"/>
      <protection/>
    </xf>
    <xf numFmtId="0" fontId="5" fillId="58" borderId="19" xfId="625" applyFont="1" applyFill="1" applyBorder="1" applyAlignment="1">
      <alignment horizontal="left" vertical="center"/>
      <protection/>
    </xf>
    <xf numFmtId="0" fontId="5" fillId="58" borderId="19" xfId="585" applyFont="1" applyFill="1" applyBorder="1" applyAlignment="1">
      <alignment vertical="center"/>
      <protection/>
    </xf>
    <xf numFmtId="3" fontId="20" fillId="58" borderId="19" xfId="585" applyNumberFormat="1" applyFont="1" applyFill="1" applyBorder="1" applyAlignment="1" applyProtection="1">
      <alignment vertical="center"/>
      <protection/>
    </xf>
    <xf numFmtId="9" fontId="20" fillId="58" borderId="31" xfId="585" applyNumberFormat="1" applyFont="1" applyFill="1" applyBorder="1" applyAlignment="1" applyProtection="1">
      <alignment vertical="center"/>
      <protection/>
    </xf>
    <xf numFmtId="0" fontId="17" fillId="0" borderId="40" xfId="585" applyFont="1" applyBorder="1" applyAlignment="1">
      <alignment horizontal="left" vertical="center"/>
      <protection/>
    </xf>
    <xf numFmtId="0" fontId="15" fillId="0" borderId="0" xfId="585" applyFont="1" applyBorder="1" applyAlignment="1">
      <alignment vertical="center"/>
      <protection/>
    </xf>
    <xf numFmtId="0" fontId="17" fillId="0" borderId="0" xfId="625" applyFont="1" applyFill="1" applyBorder="1" applyAlignment="1" applyProtection="1">
      <alignment horizontal="left" vertical="center"/>
      <protection locked="0"/>
    </xf>
    <xf numFmtId="9" fontId="19" fillId="58" borderId="31" xfId="625" applyNumberFormat="1" applyFont="1" applyFill="1" applyBorder="1" applyAlignment="1" applyProtection="1">
      <alignment vertical="center"/>
      <protection/>
    </xf>
    <xf numFmtId="0" fontId="18" fillId="82" borderId="53" xfId="625" applyFont="1" applyFill="1" applyBorder="1" applyAlignment="1">
      <alignment horizontal="left" vertical="center"/>
      <protection/>
    </xf>
    <xf numFmtId="0" fontId="18" fillId="82" borderId="20" xfId="625" applyFont="1" applyFill="1" applyBorder="1" applyAlignment="1">
      <alignment horizontal="left" vertical="center"/>
      <protection/>
    </xf>
    <xf numFmtId="0" fontId="18" fillId="82" borderId="20" xfId="625" applyFont="1" applyFill="1" applyBorder="1" applyAlignment="1">
      <alignment vertical="center"/>
      <protection/>
    </xf>
    <xf numFmtId="3" fontId="19" fillId="82" borderId="20" xfId="625" applyNumberFormat="1" applyFont="1" applyFill="1" applyBorder="1" applyAlignment="1" applyProtection="1">
      <alignment vertical="center"/>
      <protection/>
    </xf>
    <xf numFmtId="9" fontId="19" fillId="82" borderId="54" xfId="625" applyNumberFormat="1" applyFont="1" applyFill="1" applyBorder="1" applyAlignment="1" applyProtection="1">
      <alignment vertical="center"/>
      <protection/>
    </xf>
    <xf numFmtId="4" fontId="11" fillId="0" borderId="42" xfId="625" applyNumberFormat="1" applyFont="1" applyFill="1" applyBorder="1" applyAlignment="1" applyProtection="1">
      <alignment horizontal="center" vertical="center" wrapText="1"/>
      <protection locked="0"/>
    </xf>
    <xf numFmtId="4" fontId="11" fillId="0" borderId="40" xfId="625" applyNumberFormat="1" applyFont="1" applyFill="1" applyBorder="1" applyAlignment="1" applyProtection="1">
      <alignment horizontal="center" vertical="center" wrapText="1"/>
      <protection locked="0"/>
    </xf>
    <xf numFmtId="3" fontId="19" fillId="82" borderId="53" xfId="625" applyNumberFormat="1" applyFont="1" applyFill="1" applyBorder="1" applyAlignment="1" applyProtection="1">
      <alignment vertical="center"/>
      <protection/>
    </xf>
    <xf numFmtId="3" fontId="19" fillId="58" borderId="41" xfId="625" applyNumberFormat="1" applyFont="1" applyFill="1" applyBorder="1" applyAlignment="1" applyProtection="1">
      <alignment vertical="center"/>
      <protection/>
    </xf>
    <xf numFmtId="3" fontId="20" fillId="0" borderId="42" xfId="625" applyNumberFormat="1" applyFont="1" applyFill="1" applyBorder="1" applyAlignment="1" applyProtection="1">
      <alignment vertical="center"/>
      <protection locked="0"/>
    </xf>
    <xf numFmtId="3" fontId="20" fillId="0" borderId="40" xfId="625" applyNumberFormat="1" applyFont="1" applyFill="1" applyBorder="1" applyAlignment="1" applyProtection="1">
      <alignment vertical="center"/>
      <protection locked="0"/>
    </xf>
    <xf numFmtId="3" fontId="19" fillId="58" borderId="53" xfId="625" applyNumberFormat="1" applyFont="1" applyFill="1" applyBorder="1" applyAlignment="1" applyProtection="1">
      <alignment vertical="center"/>
      <protection/>
    </xf>
    <xf numFmtId="3" fontId="20" fillId="0" borderId="40" xfId="625" applyNumberFormat="1" applyFont="1" applyFill="1" applyBorder="1" applyAlignment="1" applyProtection="1">
      <alignment vertical="center"/>
      <protection/>
    </xf>
    <xf numFmtId="3" fontId="20" fillId="77" borderId="40" xfId="625" applyNumberFormat="1" applyFont="1" applyFill="1" applyBorder="1" applyAlignment="1" applyProtection="1">
      <alignment vertical="center"/>
      <protection locked="0"/>
    </xf>
    <xf numFmtId="3" fontId="19" fillId="78" borderId="40" xfId="625" applyNumberFormat="1" applyFont="1" applyFill="1" applyBorder="1" applyAlignment="1" applyProtection="1">
      <alignment vertical="center"/>
      <protection/>
    </xf>
    <xf numFmtId="3" fontId="20" fillId="58" borderId="40" xfId="585" applyNumberFormat="1" applyFont="1" applyFill="1" applyBorder="1" applyAlignment="1" applyProtection="1">
      <alignment vertical="center"/>
      <protection/>
    </xf>
    <xf numFmtId="3" fontId="20" fillId="58" borderId="41" xfId="585" applyNumberFormat="1" applyFont="1" applyFill="1" applyBorder="1" applyAlignment="1" applyProtection="1">
      <alignment vertical="center"/>
      <protection/>
    </xf>
    <xf numFmtId="9" fontId="18" fillId="58" borderId="54" xfId="625" applyNumberFormat="1" applyFont="1" applyFill="1" applyBorder="1" applyAlignment="1">
      <alignment vertical="center"/>
      <protection/>
    </xf>
    <xf numFmtId="9" fontId="18" fillId="82" borderId="54" xfId="585" applyNumberFormat="1" applyFont="1" applyFill="1" applyBorder="1" applyAlignment="1">
      <alignment vertical="center"/>
      <protection/>
    </xf>
    <xf numFmtId="0" fontId="18" fillId="83" borderId="53" xfId="585" applyFont="1" applyFill="1" applyBorder="1" applyAlignment="1">
      <alignment horizontal="left" vertical="center"/>
      <protection/>
    </xf>
    <xf numFmtId="0" fontId="18" fillId="83" borderId="20" xfId="585" applyFont="1" applyFill="1" applyBorder="1" applyAlignment="1">
      <alignment horizontal="left" vertical="center"/>
      <protection/>
    </xf>
    <xf numFmtId="0" fontId="15" fillId="83" borderId="20" xfId="585" applyFont="1" applyFill="1" applyBorder="1" applyAlignment="1">
      <alignment vertical="center"/>
      <protection/>
    </xf>
    <xf numFmtId="3" fontId="18" fillId="83" borderId="53" xfId="585" applyNumberFormat="1" applyFont="1" applyFill="1" applyBorder="1" applyAlignment="1">
      <alignment vertical="center"/>
      <protection/>
    </xf>
    <xf numFmtId="9" fontId="18" fillId="83" borderId="54" xfId="585" applyNumberFormat="1" applyFont="1" applyFill="1" applyBorder="1" applyAlignment="1">
      <alignment vertical="center"/>
      <protection/>
    </xf>
    <xf numFmtId="3" fontId="18" fillId="83" borderId="20" xfId="585" applyNumberFormat="1" applyFont="1" applyFill="1" applyBorder="1" applyAlignment="1">
      <alignment vertical="center"/>
      <protection/>
    </xf>
    <xf numFmtId="0" fontId="18" fillId="82" borderId="53" xfId="585" applyFont="1" applyFill="1" applyBorder="1" applyAlignment="1">
      <alignment horizontal="left" vertical="center"/>
      <protection/>
    </xf>
    <xf numFmtId="0" fontId="18" fillId="82" borderId="20" xfId="585" applyFont="1" applyFill="1" applyBorder="1" applyAlignment="1">
      <alignment horizontal="left" vertical="center"/>
      <protection/>
    </xf>
    <xf numFmtId="0" fontId="15" fillId="82" borderId="20" xfId="585" applyFont="1" applyFill="1" applyBorder="1" applyAlignment="1">
      <alignment vertical="center"/>
      <protection/>
    </xf>
    <xf numFmtId="3" fontId="18" fillId="82" borderId="53" xfId="585" applyNumberFormat="1" applyFont="1" applyFill="1" applyBorder="1" applyAlignment="1">
      <alignment vertical="center"/>
      <protection/>
    </xf>
    <xf numFmtId="3" fontId="18" fillId="82" borderId="20" xfId="585" applyNumberFormat="1" applyFont="1" applyFill="1" applyBorder="1" applyAlignment="1">
      <alignment vertical="center"/>
      <protection/>
    </xf>
    <xf numFmtId="0" fontId="15" fillId="12" borderId="53" xfId="585" applyFont="1" applyFill="1" applyBorder="1" applyAlignment="1">
      <alignment horizontal="left" vertical="center"/>
      <protection/>
    </xf>
    <xf numFmtId="0" fontId="18" fillId="83" borderId="20" xfId="625" applyFont="1" applyFill="1" applyBorder="1" applyAlignment="1">
      <alignment horizontal="left" vertical="center"/>
      <protection/>
    </xf>
    <xf numFmtId="0" fontId="15" fillId="83" borderId="20" xfId="625" applyFont="1" applyFill="1" applyBorder="1" applyAlignment="1">
      <alignment vertical="center"/>
      <protection/>
    </xf>
    <xf numFmtId="0" fontId="15" fillId="82" borderId="53" xfId="585" applyFont="1" applyFill="1" applyBorder="1" applyAlignment="1">
      <alignment horizontal="left" vertical="center"/>
      <protection/>
    </xf>
    <xf numFmtId="0" fontId="15" fillId="0" borderId="0" xfId="585" applyFont="1" applyFill="1" applyBorder="1" applyAlignment="1">
      <alignment vertical="center"/>
      <protection/>
    </xf>
    <xf numFmtId="0" fontId="15" fillId="82" borderId="20" xfId="625" applyFont="1" applyFill="1" applyBorder="1" applyAlignment="1">
      <alignment vertical="center"/>
      <protection/>
    </xf>
    <xf numFmtId="3" fontId="18" fillId="82" borderId="53" xfId="625" applyNumberFormat="1" applyFont="1" applyFill="1" applyBorder="1" applyAlignment="1">
      <alignment horizontal="right" vertical="center"/>
      <protection/>
    </xf>
    <xf numFmtId="3" fontId="18" fillId="82" borderId="20" xfId="625" applyNumberFormat="1" applyFont="1" applyFill="1" applyBorder="1" applyAlignment="1">
      <alignment horizontal="right" vertical="center"/>
      <protection/>
    </xf>
    <xf numFmtId="3" fontId="20" fillId="0" borderId="0" xfId="585" applyNumberFormat="1" applyFont="1" applyFill="1" applyBorder="1" applyAlignment="1">
      <alignment vertical="center"/>
      <protection/>
    </xf>
    <xf numFmtId="0" fontId="15" fillId="78" borderId="42" xfId="585" applyFont="1" applyFill="1" applyBorder="1" applyAlignment="1">
      <alignment horizontal="left" vertical="center"/>
      <protection/>
    </xf>
    <xf numFmtId="0" fontId="4" fillId="78" borderId="21" xfId="625" applyFont="1" applyFill="1" applyBorder="1" applyAlignment="1">
      <alignment vertical="center" wrapText="1"/>
      <protection/>
    </xf>
    <xf numFmtId="0" fontId="5" fillId="78" borderId="32" xfId="585" applyFont="1" applyFill="1" applyBorder="1" applyAlignment="1">
      <alignment vertical="center" wrapText="1"/>
      <protection/>
    </xf>
    <xf numFmtId="0" fontId="5" fillId="58" borderId="24" xfId="625" applyFont="1" applyFill="1" applyBorder="1" applyAlignment="1">
      <alignment vertical="center"/>
      <protection/>
    </xf>
    <xf numFmtId="3" fontId="19" fillId="78" borderId="42" xfId="625" applyNumberFormat="1" applyFont="1" applyFill="1" applyBorder="1" applyAlignment="1" applyProtection="1">
      <alignment vertical="center"/>
      <protection/>
    </xf>
    <xf numFmtId="3" fontId="18" fillId="78" borderId="21" xfId="625" applyNumberFormat="1" applyFont="1" applyFill="1" applyBorder="1" applyAlignment="1" applyProtection="1">
      <alignment vertical="center"/>
      <protection/>
    </xf>
    <xf numFmtId="9" fontId="18" fillId="78" borderId="32" xfId="625" applyNumberFormat="1" applyFont="1" applyFill="1" applyBorder="1" applyAlignment="1" applyProtection="1">
      <alignment vertical="center"/>
      <protection/>
    </xf>
    <xf numFmtId="9" fontId="15" fillId="0" borderId="20" xfId="625" applyNumberFormat="1" applyFont="1" applyFill="1" applyBorder="1" applyAlignment="1" applyProtection="1">
      <alignment vertical="center"/>
      <protection/>
    </xf>
    <xf numFmtId="3" fontId="20" fillId="0" borderId="20" xfId="585" applyNumberFormat="1" applyFont="1" applyFill="1" applyBorder="1" applyAlignment="1">
      <alignment vertical="center"/>
      <protection/>
    </xf>
    <xf numFmtId="3" fontId="15" fillId="0" borderId="20" xfId="585" applyNumberFormat="1" applyFont="1" applyFill="1" applyBorder="1" applyAlignment="1">
      <alignment vertical="center"/>
      <protection/>
    </xf>
    <xf numFmtId="9" fontId="15" fillId="0" borderId="0" xfId="625" applyNumberFormat="1" applyFont="1" applyFill="1" applyBorder="1" applyAlignment="1" applyProtection="1">
      <alignment vertical="center"/>
      <protection/>
    </xf>
    <xf numFmtId="0" fontId="9" fillId="0" borderId="0" xfId="562" applyBorder="1">
      <alignment/>
      <protection/>
    </xf>
    <xf numFmtId="3" fontId="20" fillId="0" borderId="21" xfId="625" applyNumberFormat="1" applyFont="1" applyFill="1" applyBorder="1" applyAlignment="1" applyProtection="1">
      <alignment vertical="center"/>
      <protection locked="0"/>
    </xf>
    <xf numFmtId="9" fontId="20" fillId="0" borderId="32" xfId="625" applyNumberFormat="1" applyFont="1" applyFill="1" applyBorder="1" applyAlignment="1" applyProtection="1">
      <alignment vertical="center"/>
      <protection locked="0"/>
    </xf>
    <xf numFmtId="9" fontId="20" fillId="0" borderId="31" xfId="625" applyNumberFormat="1" applyFont="1" applyFill="1" applyBorder="1" applyAlignment="1" applyProtection="1">
      <alignment vertical="center"/>
      <protection locked="0"/>
    </xf>
    <xf numFmtId="3" fontId="20" fillId="0" borderId="21" xfId="625" applyNumberFormat="1" applyFont="1" applyFill="1" applyBorder="1" applyAlignment="1" applyProtection="1">
      <alignment vertical="center"/>
      <protection/>
    </xf>
    <xf numFmtId="3" fontId="20" fillId="0" borderId="19" xfId="625" applyNumberFormat="1" applyFont="1" applyFill="1" applyBorder="1" applyAlignment="1" applyProtection="1">
      <alignment vertical="center"/>
      <protection/>
    </xf>
    <xf numFmtId="4" fontId="11" fillId="0" borderId="21" xfId="625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625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585" applyFont="1" applyBorder="1" applyAlignment="1">
      <alignment horizontal="center" vertical="center"/>
      <protection/>
    </xf>
    <xf numFmtId="0" fontId="13" fillId="0" borderId="31" xfId="585" applyFont="1" applyBorder="1" applyAlignment="1">
      <alignment horizontal="center" vertical="center"/>
      <protection/>
    </xf>
    <xf numFmtId="0" fontId="13" fillId="0" borderId="21" xfId="585" applyFont="1" applyBorder="1" applyAlignment="1">
      <alignment horizontal="center" vertical="center"/>
      <protection/>
    </xf>
    <xf numFmtId="0" fontId="13" fillId="0" borderId="21" xfId="585" applyFont="1" applyBorder="1" applyAlignment="1">
      <alignment horizontal="center" vertical="center"/>
      <protection/>
    </xf>
    <xf numFmtId="0" fontId="13" fillId="0" borderId="0" xfId="585" applyFont="1" applyBorder="1" applyAlignment="1">
      <alignment horizontal="center" vertical="center"/>
      <protection/>
    </xf>
    <xf numFmtId="0" fontId="13" fillId="0" borderId="24" xfId="585" applyFont="1" applyBorder="1" applyAlignment="1">
      <alignment horizontal="center" vertical="center"/>
      <protection/>
    </xf>
  </cellXfs>
  <cellStyles count="675">
    <cellStyle name="Normal" xfId="0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2 6" xfId="32"/>
    <cellStyle name="20% - Accent2 3" xfId="33"/>
    <cellStyle name="20% - Accent2 3 2" xfId="34"/>
    <cellStyle name="20% - Accent2 3 3" xfId="35"/>
    <cellStyle name="20% - Accent2 3 4" xfId="36"/>
    <cellStyle name="20% - Accent2 3 5" xfId="37"/>
    <cellStyle name="20% - Accent2 3 6" xfId="38"/>
    <cellStyle name="20% - Accent3 2" xfId="39"/>
    <cellStyle name="20% - Accent3 2 2" xfId="40"/>
    <cellStyle name="20% - Accent3 2 3" xfId="41"/>
    <cellStyle name="20% - Accent3 2 4" xfId="42"/>
    <cellStyle name="20% - Accent3 2 5" xfId="43"/>
    <cellStyle name="20% - Accent3 2 6" xfId="44"/>
    <cellStyle name="20% - Accent3 3" xfId="45"/>
    <cellStyle name="20% - Accent3 3 2" xfId="46"/>
    <cellStyle name="20% - Accent3 3 3" xfId="47"/>
    <cellStyle name="20% - Accent3 3 4" xfId="48"/>
    <cellStyle name="20% - Accent3 3 5" xfId="49"/>
    <cellStyle name="20% - Accent3 3 6" xfId="50"/>
    <cellStyle name="20% - Accent4 2" xfId="51"/>
    <cellStyle name="20% - Accent4 2 2" xfId="52"/>
    <cellStyle name="20% - Accent4 2 3" xfId="53"/>
    <cellStyle name="20% - Accent4 2 4" xfId="54"/>
    <cellStyle name="20% - Accent4 2 5" xfId="55"/>
    <cellStyle name="20% - Accent4 2 6" xfId="56"/>
    <cellStyle name="20% - Accent4 3" xfId="57"/>
    <cellStyle name="20% - Accent4 3 2" xfId="58"/>
    <cellStyle name="20% - Accent4 3 3" xfId="59"/>
    <cellStyle name="20% - Accent4 3 4" xfId="60"/>
    <cellStyle name="20% - Accent4 3 5" xfId="61"/>
    <cellStyle name="20% - Accent4 3 6" xfId="62"/>
    <cellStyle name="20% - Accent5 2" xfId="63"/>
    <cellStyle name="20% - Accent5 2 2" xfId="64"/>
    <cellStyle name="20% - Accent5 2 3" xfId="65"/>
    <cellStyle name="20% - Accent5 2 4" xfId="66"/>
    <cellStyle name="20% - Accent5 2 5" xfId="67"/>
    <cellStyle name="20% - Accent5 2 6" xfId="68"/>
    <cellStyle name="20% - Accent5 3" xfId="69"/>
    <cellStyle name="20% - Accent5 3 2" xfId="70"/>
    <cellStyle name="20% - Accent5 3 3" xfId="71"/>
    <cellStyle name="20% - Accent5 3 4" xfId="72"/>
    <cellStyle name="20% - Accent5 3 5" xfId="73"/>
    <cellStyle name="20% - Accent5 3 6" xfId="74"/>
    <cellStyle name="20% - Accent6 2" xfId="75"/>
    <cellStyle name="20% - Accent6 2 2" xfId="76"/>
    <cellStyle name="20% - Accent6 2 3" xfId="77"/>
    <cellStyle name="20% - Accent6 2 4" xfId="78"/>
    <cellStyle name="20% - Accent6 2 5" xfId="79"/>
    <cellStyle name="20% - Accent6 2 6" xfId="80"/>
    <cellStyle name="20% - Accent6 3" xfId="81"/>
    <cellStyle name="20% - Accent6 3 2" xfId="82"/>
    <cellStyle name="20% - Accent6 3 3" xfId="83"/>
    <cellStyle name="20% - Accent6 3 4" xfId="84"/>
    <cellStyle name="20% - Accent6 3 5" xfId="85"/>
    <cellStyle name="20% - Accent6 3 6" xfId="86"/>
    <cellStyle name="20% – rõhk1" xfId="87"/>
    <cellStyle name="20% – rõhk1 10" xfId="88"/>
    <cellStyle name="20% – rõhk1 2" xfId="89"/>
    <cellStyle name="20% – rõhk1 2 2" xfId="90"/>
    <cellStyle name="20% – rõhk1 2 2 2" xfId="91"/>
    <cellStyle name="20% – rõhk1 2 3" xfId="92"/>
    <cellStyle name="20% – rõhk1 3" xfId="93"/>
    <cellStyle name="20% – rõhk1 3 2" xfId="94"/>
    <cellStyle name="20% – rõhk1 4" xfId="95"/>
    <cellStyle name="20% – rõhk1 4 2" xfId="96"/>
    <cellStyle name="20% – rõhk1 5" xfId="97"/>
    <cellStyle name="20% – rõhk1 5 2" xfId="98"/>
    <cellStyle name="20% – rõhk1 6" xfId="99"/>
    <cellStyle name="20% – rõhk1 6 2" xfId="100"/>
    <cellStyle name="20% – rõhk1 7" xfId="101"/>
    <cellStyle name="20% – rõhk1 7 2" xfId="102"/>
    <cellStyle name="20% – rõhk1 8" xfId="103"/>
    <cellStyle name="20% – rõhk1 8 2" xfId="104"/>
    <cellStyle name="20% – rõhk1 9" xfId="105"/>
    <cellStyle name="20% – rõhk2" xfId="106"/>
    <cellStyle name="20% – rõhk2 10" xfId="107"/>
    <cellStyle name="20% – rõhk2 2" xfId="108"/>
    <cellStyle name="20% – rõhk2 2 2" xfId="109"/>
    <cellStyle name="20% – rõhk2 2 2 2" xfId="110"/>
    <cellStyle name="20% – rõhk2 2 3" xfId="111"/>
    <cellStyle name="20% – rõhk2 3" xfId="112"/>
    <cellStyle name="20% – rõhk2 3 2" xfId="113"/>
    <cellStyle name="20% – rõhk2 4" xfId="114"/>
    <cellStyle name="20% – rõhk2 4 2" xfId="115"/>
    <cellStyle name="20% – rõhk2 5" xfId="116"/>
    <cellStyle name="20% – rõhk2 5 2" xfId="117"/>
    <cellStyle name="20% – rõhk2 6" xfId="118"/>
    <cellStyle name="20% – rõhk2 6 2" xfId="119"/>
    <cellStyle name="20% – rõhk2 7" xfId="120"/>
    <cellStyle name="20% – rõhk2 7 2" xfId="121"/>
    <cellStyle name="20% – rõhk2 8" xfId="122"/>
    <cellStyle name="20% – rõhk2 8 2" xfId="123"/>
    <cellStyle name="20% – rõhk2 9" xfId="124"/>
    <cellStyle name="20% – rõhk3" xfId="125"/>
    <cellStyle name="20% – rõhk3 10" xfId="126"/>
    <cellStyle name="20% – rõhk3 2" xfId="127"/>
    <cellStyle name="20% – rõhk3 2 2" xfId="128"/>
    <cellStyle name="20% – rõhk3 2 2 2" xfId="129"/>
    <cellStyle name="20% – rõhk3 2 3" xfId="130"/>
    <cellStyle name="20% – rõhk3 3" xfId="131"/>
    <cellStyle name="20% – rõhk3 3 2" xfId="132"/>
    <cellStyle name="20% – rõhk3 4" xfId="133"/>
    <cellStyle name="20% – rõhk3 4 2" xfId="134"/>
    <cellStyle name="20% – rõhk3 5" xfId="135"/>
    <cellStyle name="20% – rõhk3 5 2" xfId="136"/>
    <cellStyle name="20% – rõhk3 6" xfId="137"/>
    <cellStyle name="20% – rõhk3 6 2" xfId="138"/>
    <cellStyle name="20% – rõhk3 7" xfId="139"/>
    <cellStyle name="20% – rõhk3 7 2" xfId="140"/>
    <cellStyle name="20% – rõhk3 8" xfId="141"/>
    <cellStyle name="20% – rõhk3 8 2" xfId="142"/>
    <cellStyle name="20% – rõhk3 9" xfId="143"/>
    <cellStyle name="20% – rõhk4" xfId="144"/>
    <cellStyle name="20% – rõhk4 10" xfId="145"/>
    <cellStyle name="20% – rõhk4 2" xfId="146"/>
    <cellStyle name="20% – rõhk4 2 2" xfId="147"/>
    <cellStyle name="20% – rõhk4 2 2 2" xfId="148"/>
    <cellStyle name="20% – rõhk4 2 3" xfId="149"/>
    <cellStyle name="20% – rõhk4 3" xfId="150"/>
    <cellStyle name="20% – rõhk4 3 2" xfId="151"/>
    <cellStyle name="20% – rõhk4 4" xfId="152"/>
    <cellStyle name="20% – rõhk4 4 2" xfId="153"/>
    <cellStyle name="20% – rõhk4 5" xfId="154"/>
    <cellStyle name="20% – rõhk4 5 2" xfId="155"/>
    <cellStyle name="20% – rõhk4 6" xfId="156"/>
    <cellStyle name="20% – rõhk4 6 2" xfId="157"/>
    <cellStyle name="20% – rõhk4 7" xfId="158"/>
    <cellStyle name="20% – rõhk4 7 2" xfId="159"/>
    <cellStyle name="20% – rõhk4 8" xfId="160"/>
    <cellStyle name="20% – rõhk4 8 2" xfId="161"/>
    <cellStyle name="20% – rõhk4 9" xfId="162"/>
    <cellStyle name="20% – rõhk5" xfId="163"/>
    <cellStyle name="20% – rõhk5 10" xfId="164"/>
    <cellStyle name="20% – rõhk5 2" xfId="165"/>
    <cellStyle name="20% – rõhk5 2 2" xfId="166"/>
    <cellStyle name="20% – rõhk5 2 2 2" xfId="167"/>
    <cellStyle name="20% – rõhk5 2 3" xfId="168"/>
    <cellStyle name="20% – rõhk5 3" xfId="169"/>
    <cellStyle name="20% – rõhk5 3 2" xfId="170"/>
    <cellStyle name="20% – rõhk5 4" xfId="171"/>
    <cellStyle name="20% – rõhk5 4 2" xfId="172"/>
    <cellStyle name="20% – rõhk5 5" xfId="173"/>
    <cellStyle name="20% – rõhk5 5 2" xfId="174"/>
    <cellStyle name="20% – rõhk5 6" xfId="175"/>
    <cellStyle name="20% – rõhk5 6 2" xfId="176"/>
    <cellStyle name="20% – rõhk5 7" xfId="177"/>
    <cellStyle name="20% – rõhk5 7 2" xfId="178"/>
    <cellStyle name="20% – rõhk5 8" xfId="179"/>
    <cellStyle name="20% – rõhk5 8 2" xfId="180"/>
    <cellStyle name="20% – rõhk5 9" xfId="181"/>
    <cellStyle name="20% – rõhk6" xfId="182"/>
    <cellStyle name="20% – rõhk6 10" xfId="183"/>
    <cellStyle name="20% – rõhk6 2" xfId="184"/>
    <cellStyle name="20% – rõhk6 2 2" xfId="185"/>
    <cellStyle name="20% – rõhk6 2 2 2" xfId="186"/>
    <cellStyle name="20% – rõhk6 2 3" xfId="187"/>
    <cellStyle name="20% – rõhk6 3" xfId="188"/>
    <cellStyle name="20% – rõhk6 3 2" xfId="189"/>
    <cellStyle name="20% – rõhk6 4" xfId="190"/>
    <cellStyle name="20% – rõhk6 4 2" xfId="191"/>
    <cellStyle name="20% – rõhk6 5" xfId="192"/>
    <cellStyle name="20% – rõhk6 5 2" xfId="193"/>
    <cellStyle name="20% – rõhk6 6" xfId="194"/>
    <cellStyle name="20% – rõhk6 6 2" xfId="195"/>
    <cellStyle name="20% – rõhk6 7" xfId="196"/>
    <cellStyle name="20% – rõhk6 7 2" xfId="197"/>
    <cellStyle name="20% – rõhk6 8" xfId="198"/>
    <cellStyle name="20% – rõhk6 8 2" xfId="199"/>
    <cellStyle name="20% – rõhk6 9" xfId="200"/>
    <cellStyle name="20% - Акцент1" xfId="201"/>
    <cellStyle name="20% - Акцент1 2" xfId="202"/>
    <cellStyle name="20% - Акцент1 3" xfId="203"/>
    <cellStyle name="20% - Акцент1 4" xfId="204"/>
    <cellStyle name="20% - Акцент1 5" xfId="205"/>
    <cellStyle name="20% - Акцент1 6" xfId="206"/>
    <cellStyle name="20% - Акцент2" xfId="207"/>
    <cellStyle name="20% - Акцент2 2" xfId="208"/>
    <cellStyle name="20% - Акцент2 3" xfId="209"/>
    <cellStyle name="20% - Акцент2 4" xfId="210"/>
    <cellStyle name="20% - Акцент2 5" xfId="211"/>
    <cellStyle name="20% - Акцент2 6" xfId="212"/>
    <cellStyle name="20% - Акцент3" xfId="213"/>
    <cellStyle name="20% - Акцент3 2" xfId="214"/>
    <cellStyle name="20% - Акцент3 3" xfId="215"/>
    <cellStyle name="20% - Акцент3 4" xfId="216"/>
    <cellStyle name="20% - Акцент3 5" xfId="217"/>
    <cellStyle name="20% - Акцент3 6" xfId="218"/>
    <cellStyle name="20% - Акцент4" xfId="219"/>
    <cellStyle name="20% - Акцент4 2" xfId="220"/>
    <cellStyle name="20% - Акцент4 3" xfId="221"/>
    <cellStyle name="20% - Акцент4 4" xfId="222"/>
    <cellStyle name="20% - Акцент4 5" xfId="223"/>
    <cellStyle name="20% - Акцент4 6" xfId="224"/>
    <cellStyle name="20% - Акцент5" xfId="225"/>
    <cellStyle name="20% - Акцент5 2" xfId="226"/>
    <cellStyle name="20% - Акцент5 3" xfId="227"/>
    <cellStyle name="20% - Акцент5 4" xfId="228"/>
    <cellStyle name="20% - Акцент5 5" xfId="229"/>
    <cellStyle name="20% - Акцент5 6" xfId="230"/>
    <cellStyle name="20% - Акцент6" xfId="231"/>
    <cellStyle name="20% - Акцент6 2" xfId="232"/>
    <cellStyle name="20% - Акцент6 3" xfId="233"/>
    <cellStyle name="20% - Акцент6 4" xfId="234"/>
    <cellStyle name="20% - Акцент6 5" xfId="235"/>
    <cellStyle name="20% - Акцент6 6" xfId="236"/>
    <cellStyle name="40% - Accent1 2" xfId="237"/>
    <cellStyle name="40% - Accent1 2 2" xfId="238"/>
    <cellStyle name="40% - Accent1 2 3" xfId="239"/>
    <cellStyle name="40% - Accent1 2 4" xfId="240"/>
    <cellStyle name="40% - Accent1 2 5" xfId="241"/>
    <cellStyle name="40% - Accent1 2 6" xfId="242"/>
    <cellStyle name="40% - Accent1 3" xfId="243"/>
    <cellStyle name="40% - Accent1 3 2" xfId="244"/>
    <cellStyle name="40% - Accent1 3 3" xfId="245"/>
    <cellStyle name="40% - Accent1 3 4" xfId="246"/>
    <cellStyle name="40% - Accent1 3 5" xfId="247"/>
    <cellStyle name="40% - Accent1 3 6" xfId="248"/>
    <cellStyle name="40% - Accent2 2" xfId="249"/>
    <cellStyle name="40% - Accent2 2 2" xfId="250"/>
    <cellStyle name="40% - Accent2 2 3" xfId="251"/>
    <cellStyle name="40% - Accent2 2 4" xfId="252"/>
    <cellStyle name="40% - Accent2 2 5" xfId="253"/>
    <cellStyle name="40% - Accent2 2 6" xfId="254"/>
    <cellStyle name="40% - Accent2 3" xfId="255"/>
    <cellStyle name="40% - Accent2 3 2" xfId="256"/>
    <cellStyle name="40% - Accent2 3 3" xfId="257"/>
    <cellStyle name="40% - Accent2 3 4" xfId="258"/>
    <cellStyle name="40% - Accent2 3 5" xfId="259"/>
    <cellStyle name="40% - Accent2 3 6" xfId="260"/>
    <cellStyle name="40% - Accent3 2" xfId="261"/>
    <cellStyle name="40% - Accent3 2 2" xfId="262"/>
    <cellStyle name="40% - Accent3 2 3" xfId="263"/>
    <cellStyle name="40% - Accent3 2 4" xfId="264"/>
    <cellStyle name="40% - Accent3 2 5" xfId="265"/>
    <cellStyle name="40% - Accent3 2 6" xfId="266"/>
    <cellStyle name="40% - Accent3 3" xfId="267"/>
    <cellStyle name="40% - Accent3 3 2" xfId="268"/>
    <cellStyle name="40% - Accent3 3 3" xfId="269"/>
    <cellStyle name="40% - Accent3 3 4" xfId="270"/>
    <cellStyle name="40% - Accent3 3 5" xfId="271"/>
    <cellStyle name="40% - Accent3 3 6" xfId="272"/>
    <cellStyle name="40% - Accent4 2" xfId="273"/>
    <cellStyle name="40% - Accent4 2 2" xfId="274"/>
    <cellStyle name="40% - Accent4 2 3" xfId="275"/>
    <cellStyle name="40% - Accent4 2 4" xfId="276"/>
    <cellStyle name="40% - Accent4 2 5" xfId="277"/>
    <cellStyle name="40% - Accent4 2 6" xfId="278"/>
    <cellStyle name="40% - Accent4 3" xfId="279"/>
    <cellStyle name="40% - Accent4 3 2" xfId="280"/>
    <cellStyle name="40% - Accent4 3 3" xfId="281"/>
    <cellStyle name="40% - Accent4 3 4" xfId="282"/>
    <cellStyle name="40% - Accent4 3 5" xfId="283"/>
    <cellStyle name="40% - Accent4 3 6" xfId="284"/>
    <cellStyle name="40% - Accent5 2" xfId="285"/>
    <cellStyle name="40% - Accent5 2 2" xfId="286"/>
    <cellStyle name="40% - Accent5 2 3" xfId="287"/>
    <cellStyle name="40% - Accent5 2 4" xfId="288"/>
    <cellStyle name="40% - Accent5 2 5" xfId="289"/>
    <cellStyle name="40% - Accent5 2 6" xfId="290"/>
    <cellStyle name="40% - Accent5 3" xfId="291"/>
    <cellStyle name="40% - Accent5 3 2" xfId="292"/>
    <cellStyle name="40% - Accent5 3 3" xfId="293"/>
    <cellStyle name="40% - Accent5 3 4" xfId="294"/>
    <cellStyle name="40% - Accent5 3 5" xfId="295"/>
    <cellStyle name="40% - Accent5 3 6" xfId="296"/>
    <cellStyle name="40% - Accent6 2" xfId="297"/>
    <cellStyle name="40% - Accent6 2 2" xfId="298"/>
    <cellStyle name="40% - Accent6 2 3" xfId="299"/>
    <cellStyle name="40% - Accent6 2 4" xfId="300"/>
    <cellStyle name="40% - Accent6 2 5" xfId="301"/>
    <cellStyle name="40% - Accent6 2 6" xfId="302"/>
    <cellStyle name="40% - Accent6 3" xfId="303"/>
    <cellStyle name="40% - Accent6 3 2" xfId="304"/>
    <cellStyle name="40% - Accent6 3 3" xfId="305"/>
    <cellStyle name="40% - Accent6 3 4" xfId="306"/>
    <cellStyle name="40% - Accent6 3 5" xfId="307"/>
    <cellStyle name="40% - Accent6 3 6" xfId="308"/>
    <cellStyle name="40% – rõhk1" xfId="309"/>
    <cellStyle name="40% – rõhk1 10" xfId="310"/>
    <cellStyle name="40% – rõhk1 2" xfId="311"/>
    <cellStyle name="40% – rõhk1 2 2" xfId="312"/>
    <cellStyle name="40% – rõhk1 2 2 2" xfId="313"/>
    <cellStyle name="40% – rõhk1 2 3" xfId="314"/>
    <cellStyle name="40% – rõhk1 3" xfId="315"/>
    <cellStyle name="40% – rõhk1 3 2" xfId="316"/>
    <cellStyle name="40% – rõhk1 4" xfId="317"/>
    <cellStyle name="40% – rõhk1 4 2" xfId="318"/>
    <cellStyle name="40% – rõhk1 5" xfId="319"/>
    <cellStyle name="40% – rõhk1 5 2" xfId="320"/>
    <cellStyle name="40% – rõhk1 6" xfId="321"/>
    <cellStyle name="40% – rõhk1 6 2" xfId="322"/>
    <cellStyle name="40% – rõhk1 7" xfId="323"/>
    <cellStyle name="40% – rõhk1 7 2" xfId="324"/>
    <cellStyle name="40% – rõhk1 8" xfId="325"/>
    <cellStyle name="40% – rõhk1 8 2" xfId="326"/>
    <cellStyle name="40% – rõhk1 9" xfId="327"/>
    <cellStyle name="40% – rõhk2" xfId="328"/>
    <cellStyle name="40% – rõhk2 10" xfId="329"/>
    <cellStyle name="40% – rõhk2 2" xfId="330"/>
    <cellStyle name="40% – rõhk2 2 2" xfId="331"/>
    <cellStyle name="40% – rõhk2 2 2 2" xfId="332"/>
    <cellStyle name="40% – rõhk2 2 3" xfId="333"/>
    <cellStyle name="40% – rõhk2 3" xfId="334"/>
    <cellStyle name="40% – rõhk2 3 2" xfId="335"/>
    <cellStyle name="40% – rõhk2 4" xfId="336"/>
    <cellStyle name="40% – rõhk2 4 2" xfId="337"/>
    <cellStyle name="40% – rõhk2 5" xfId="338"/>
    <cellStyle name="40% – rõhk2 5 2" xfId="339"/>
    <cellStyle name="40% – rõhk2 6" xfId="340"/>
    <cellStyle name="40% – rõhk2 6 2" xfId="341"/>
    <cellStyle name="40% – rõhk2 7" xfId="342"/>
    <cellStyle name="40% – rõhk2 7 2" xfId="343"/>
    <cellStyle name="40% – rõhk2 8" xfId="344"/>
    <cellStyle name="40% – rõhk2 8 2" xfId="345"/>
    <cellStyle name="40% – rõhk2 9" xfId="346"/>
    <cellStyle name="40% – rõhk3" xfId="347"/>
    <cellStyle name="40% – rõhk3 10" xfId="348"/>
    <cellStyle name="40% – rõhk3 2" xfId="349"/>
    <cellStyle name="40% – rõhk3 2 2" xfId="350"/>
    <cellStyle name="40% – rõhk3 2 2 2" xfId="351"/>
    <cellStyle name="40% – rõhk3 2 3" xfId="352"/>
    <cellStyle name="40% – rõhk3 3" xfId="353"/>
    <cellStyle name="40% – rõhk3 3 2" xfId="354"/>
    <cellStyle name="40% – rõhk3 4" xfId="355"/>
    <cellStyle name="40% – rõhk3 4 2" xfId="356"/>
    <cellStyle name="40% – rõhk3 5" xfId="357"/>
    <cellStyle name="40% – rõhk3 5 2" xfId="358"/>
    <cellStyle name="40% – rõhk3 6" xfId="359"/>
    <cellStyle name="40% – rõhk3 6 2" xfId="360"/>
    <cellStyle name="40% – rõhk3 7" xfId="361"/>
    <cellStyle name="40% – rõhk3 7 2" xfId="362"/>
    <cellStyle name="40% – rõhk3 8" xfId="363"/>
    <cellStyle name="40% – rõhk3 8 2" xfId="364"/>
    <cellStyle name="40% – rõhk3 9" xfId="365"/>
    <cellStyle name="40% – rõhk4" xfId="366"/>
    <cellStyle name="40% – rõhk4 10" xfId="367"/>
    <cellStyle name="40% – rõhk4 2" xfId="368"/>
    <cellStyle name="40% – rõhk4 2 2" xfId="369"/>
    <cellStyle name="40% – rõhk4 2 2 2" xfId="370"/>
    <cellStyle name="40% – rõhk4 2 3" xfId="371"/>
    <cellStyle name="40% – rõhk4 3" xfId="372"/>
    <cellStyle name="40% – rõhk4 3 2" xfId="373"/>
    <cellStyle name="40% – rõhk4 4" xfId="374"/>
    <cellStyle name="40% – rõhk4 4 2" xfId="375"/>
    <cellStyle name="40% – rõhk4 5" xfId="376"/>
    <cellStyle name="40% – rõhk4 5 2" xfId="377"/>
    <cellStyle name="40% – rõhk4 6" xfId="378"/>
    <cellStyle name="40% – rõhk4 6 2" xfId="379"/>
    <cellStyle name="40% – rõhk4 7" xfId="380"/>
    <cellStyle name="40% – rõhk4 7 2" xfId="381"/>
    <cellStyle name="40% – rõhk4 8" xfId="382"/>
    <cellStyle name="40% – rõhk4 8 2" xfId="383"/>
    <cellStyle name="40% – rõhk4 9" xfId="384"/>
    <cellStyle name="40% – rõhk5" xfId="385"/>
    <cellStyle name="40% – rõhk5 10" xfId="386"/>
    <cellStyle name="40% – rõhk5 2" xfId="387"/>
    <cellStyle name="40% – rõhk5 2 2" xfId="388"/>
    <cellStyle name="40% – rõhk5 2 2 2" xfId="389"/>
    <cellStyle name="40% – rõhk5 2 3" xfId="390"/>
    <cellStyle name="40% – rõhk5 3" xfId="391"/>
    <cellStyle name="40% – rõhk5 3 2" xfId="392"/>
    <cellStyle name="40% – rõhk5 4" xfId="393"/>
    <cellStyle name="40% – rõhk5 4 2" xfId="394"/>
    <cellStyle name="40% – rõhk5 5" xfId="395"/>
    <cellStyle name="40% – rõhk5 5 2" xfId="396"/>
    <cellStyle name="40% – rõhk5 6" xfId="397"/>
    <cellStyle name="40% – rõhk5 6 2" xfId="398"/>
    <cellStyle name="40% – rõhk5 7" xfId="399"/>
    <cellStyle name="40% – rõhk5 7 2" xfId="400"/>
    <cellStyle name="40% – rõhk5 8" xfId="401"/>
    <cellStyle name="40% – rõhk5 8 2" xfId="402"/>
    <cellStyle name="40% – rõhk5 9" xfId="403"/>
    <cellStyle name="40% – rõhk6" xfId="404"/>
    <cellStyle name="40% – rõhk6 10" xfId="405"/>
    <cellStyle name="40% – rõhk6 2" xfId="406"/>
    <cellStyle name="40% – rõhk6 2 2" xfId="407"/>
    <cellStyle name="40% – rõhk6 2 2 2" xfId="408"/>
    <cellStyle name="40% – rõhk6 2 3" xfId="409"/>
    <cellStyle name="40% – rõhk6 3" xfId="410"/>
    <cellStyle name="40% – rõhk6 3 2" xfId="411"/>
    <cellStyle name="40% – rõhk6 4" xfId="412"/>
    <cellStyle name="40% – rõhk6 4 2" xfId="413"/>
    <cellStyle name="40% – rõhk6 5" xfId="414"/>
    <cellStyle name="40% – rõhk6 5 2" xfId="415"/>
    <cellStyle name="40% – rõhk6 6" xfId="416"/>
    <cellStyle name="40% – rõhk6 6 2" xfId="417"/>
    <cellStyle name="40% – rõhk6 7" xfId="418"/>
    <cellStyle name="40% – rõhk6 7 2" xfId="419"/>
    <cellStyle name="40% – rõhk6 8" xfId="420"/>
    <cellStyle name="40% – rõhk6 8 2" xfId="421"/>
    <cellStyle name="40% – rõhk6 9" xfId="422"/>
    <cellStyle name="40% - Акцент1" xfId="423"/>
    <cellStyle name="40% - Акцент1 2" xfId="424"/>
    <cellStyle name="40% - Акцент1 3" xfId="425"/>
    <cellStyle name="40% - Акцент1 4" xfId="426"/>
    <cellStyle name="40% - Акцент1 5" xfId="427"/>
    <cellStyle name="40% - Акцент1 6" xfId="428"/>
    <cellStyle name="40% - Акцент2" xfId="429"/>
    <cellStyle name="40% - Акцент2 2" xfId="430"/>
    <cellStyle name="40% - Акцент2 3" xfId="431"/>
    <cellStyle name="40% - Акцент2 4" xfId="432"/>
    <cellStyle name="40% - Акцент2 5" xfId="433"/>
    <cellStyle name="40% - Акцент2 6" xfId="434"/>
    <cellStyle name="40% - Акцент3" xfId="435"/>
    <cellStyle name="40% - Акцент3 2" xfId="436"/>
    <cellStyle name="40% - Акцент3 3" xfId="437"/>
    <cellStyle name="40% - Акцент3 4" xfId="438"/>
    <cellStyle name="40% - Акцент3 5" xfId="439"/>
    <cellStyle name="40% - Акцент3 6" xfId="440"/>
    <cellStyle name="40% - Акцент4" xfId="441"/>
    <cellStyle name="40% - Акцент4 2" xfId="442"/>
    <cellStyle name="40% - Акцент4 3" xfId="443"/>
    <cellStyle name="40% - Акцент4 4" xfId="444"/>
    <cellStyle name="40% - Акцент4 5" xfId="445"/>
    <cellStyle name="40% - Акцент4 6" xfId="446"/>
    <cellStyle name="40% - Акцент5" xfId="447"/>
    <cellStyle name="40% - Акцент5 2" xfId="448"/>
    <cellStyle name="40% - Акцент5 3" xfId="449"/>
    <cellStyle name="40% - Акцент5 4" xfId="450"/>
    <cellStyle name="40% - Акцент5 5" xfId="451"/>
    <cellStyle name="40% - Акцент5 6" xfId="452"/>
    <cellStyle name="40% - Акцент6" xfId="453"/>
    <cellStyle name="40% - Акцент6 2" xfId="454"/>
    <cellStyle name="40% - Акцент6 3" xfId="455"/>
    <cellStyle name="40% - Акцент6 4" xfId="456"/>
    <cellStyle name="40% - Акцент6 5" xfId="457"/>
    <cellStyle name="40% - Акцент6 6" xfId="458"/>
    <cellStyle name="60% - Accent1 2" xfId="459"/>
    <cellStyle name="60% - Accent1 3" xfId="460"/>
    <cellStyle name="60% - Accent2 2" xfId="461"/>
    <cellStyle name="60% - Accent2 3" xfId="462"/>
    <cellStyle name="60% - Accent3 2" xfId="463"/>
    <cellStyle name="60% - Accent3 3" xfId="464"/>
    <cellStyle name="60% - Accent4 2" xfId="465"/>
    <cellStyle name="60% - Accent4 3" xfId="466"/>
    <cellStyle name="60% - Accent5 2" xfId="467"/>
    <cellStyle name="60% - Accent5 3" xfId="468"/>
    <cellStyle name="60% - Accent6 2" xfId="469"/>
    <cellStyle name="60% - Accent6 3" xfId="470"/>
    <cellStyle name="60% – rõhk1" xfId="471"/>
    <cellStyle name="60% – rõhk2" xfId="472"/>
    <cellStyle name="60% – rõhk3" xfId="473"/>
    <cellStyle name="60% – rõhk4" xfId="474"/>
    <cellStyle name="60% – rõhk5" xfId="475"/>
    <cellStyle name="60% – rõhk6" xfId="476"/>
    <cellStyle name="60% - Акцент1" xfId="477"/>
    <cellStyle name="60% - Акцент2" xfId="478"/>
    <cellStyle name="60% - Акцент3" xfId="479"/>
    <cellStyle name="60% - Акцент4" xfId="480"/>
    <cellStyle name="60% - Акцент5" xfId="481"/>
    <cellStyle name="60% - Акцент6" xfId="482"/>
    <cellStyle name="Accent1 2" xfId="483"/>
    <cellStyle name="Accent1 3" xfId="484"/>
    <cellStyle name="Accent2 2" xfId="485"/>
    <cellStyle name="Accent2 3" xfId="486"/>
    <cellStyle name="Accent3 2" xfId="487"/>
    <cellStyle name="Accent3 3" xfId="488"/>
    <cellStyle name="Accent4 2" xfId="489"/>
    <cellStyle name="Accent4 3" xfId="490"/>
    <cellStyle name="Accent5 2" xfId="491"/>
    <cellStyle name="Accent5 3" xfId="492"/>
    <cellStyle name="Accent6 2" xfId="493"/>
    <cellStyle name="Accent6 3" xfId="494"/>
    <cellStyle name="Arvutus" xfId="495"/>
    <cellStyle name="Bad 2" xfId="496"/>
    <cellStyle name="Bad 3" xfId="497"/>
    <cellStyle name="Calculation 2" xfId="498"/>
    <cellStyle name="Calculation 3" xfId="499"/>
    <cellStyle name="Check Cell 2" xfId="500"/>
    <cellStyle name="Check Cell 3" xfId="501"/>
    <cellStyle name="Comma 2" xfId="502"/>
    <cellStyle name="Comma 2 2" xfId="503"/>
    <cellStyle name="Comma 2 2 2" xfId="504"/>
    <cellStyle name="Comma 2 3" xfId="505"/>
    <cellStyle name="Comma 2 4" xfId="506"/>
    <cellStyle name="Comma 2 5" xfId="507"/>
    <cellStyle name="Comma 2 6" xfId="508"/>
    <cellStyle name="Comma 3" xfId="509"/>
    <cellStyle name="Comma 3 2" xfId="510"/>
    <cellStyle name="Explanatory Text 2" xfId="511"/>
    <cellStyle name="Explanatory Text 3" xfId="512"/>
    <cellStyle name="Good 2" xfId="513"/>
    <cellStyle name="Good 3" xfId="514"/>
    <cellStyle name="Halb" xfId="515"/>
    <cellStyle name="Hea" xfId="516"/>
    <cellStyle name="Heading 1 2" xfId="517"/>
    <cellStyle name="Heading 1 3" xfId="518"/>
    <cellStyle name="Heading 2 2" xfId="519"/>
    <cellStyle name="Heading 2 3" xfId="520"/>
    <cellStyle name="Heading 3 2" xfId="521"/>
    <cellStyle name="Heading 3 3" xfId="522"/>
    <cellStyle name="Heading 4 2" xfId="523"/>
    <cellStyle name="Heading 4 3" xfId="524"/>
    <cellStyle name="Hoiatuse tekst" xfId="525"/>
    <cellStyle name="Hoiatustekst" xfId="526"/>
    <cellStyle name="Input 2" xfId="527"/>
    <cellStyle name="Input 3" xfId="528"/>
    <cellStyle name="Kokku" xfId="529"/>
    <cellStyle name="Comma" xfId="530"/>
    <cellStyle name="Comma [0]" xfId="531"/>
    <cellStyle name="Kontrolli lahtrit" xfId="532"/>
    <cellStyle name="Lingitud lahter" xfId="533"/>
    <cellStyle name="Linked Cell 2" xfId="534"/>
    <cellStyle name="Linked Cell 3" xfId="535"/>
    <cellStyle name="Märkus" xfId="536"/>
    <cellStyle name="Märkus 2" xfId="537"/>
    <cellStyle name="Märkus 2 2" xfId="538"/>
    <cellStyle name="Märkus 2 2 2" xfId="539"/>
    <cellStyle name="Märkus 2 3" xfId="540"/>
    <cellStyle name="Märkus 3" xfId="541"/>
    <cellStyle name="Märkus 3 2" xfId="542"/>
    <cellStyle name="Märkus 3 2 2" xfId="543"/>
    <cellStyle name="Märkus 3 3" xfId="544"/>
    <cellStyle name="Märkus 4" xfId="545"/>
    <cellStyle name="Märkus 4 2" xfId="546"/>
    <cellStyle name="Märkus 5" xfId="547"/>
    <cellStyle name="Märkus 5 2" xfId="548"/>
    <cellStyle name="Märkus 6" xfId="549"/>
    <cellStyle name="Märkus 6 2" xfId="550"/>
    <cellStyle name="Märkus 7" xfId="551"/>
    <cellStyle name="Märkus 7 2" xfId="552"/>
    <cellStyle name="Märkus 8" xfId="553"/>
    <cellStyle name="Märkus 8 2" xfId="554"/>
    <cellStyle name="Märkus 9" xfId="555"/>
    <cellStyle name="Neutraalne" xfId="556"/>
    <cellStyle name="Neutral 2" xfId="557"/>
    <cellStyle name="Neutral 3" xfId="558"/>
    <cellStyle name="Normaallaad 10" xfId="559"/>
    <cellStyle name="Normaallaad 10 2" xfId="560"/>
    <cellStyle name="Normaallaad 11" xfId="561"/>
    <cellStyle name="Normaallaad 2" xfId="562"/>
    <cellStyle name="Normaallaad 2 2" xfId="563"/>
    <cellStyle name="Normaallaad 2 2 2" xfId="564"/>
    <cellStyle name="Normaallaad 2 3" xfId="565"/>
    <cellStyle name="Normaallaad 3" xfId="566"/>
    <cellStyle name="Normaallaad 3 2" xfId="567"/>
    <cellStyle name="Normaallaad 3 2 2" xfId="568"/>
    <cellStyle name="Normaallaad 3 3" xfId="569"/>
    <cellStyle name="Normaallaad 4" xfId="570"/>
    <cellStyle name="Normaallaad 4 2" xfId="571"/>
    <cellStyle name="Normaallaad 4 2 2" xfId="572"/>
    <cellStyle name="Normaallaad 4 3" xfId="573"/>
    <cellStyle name="Normaallaad 5" xfId="574"/>
    <cellStyle name="Normaallaad 5 2" xfId="575"/>
    <cellStyle name="Normaallaad 6" xfId="576"/>
    <cellStyle name="Normaallaad 6 2" xfId="577"/>
    <cellStyle name="Normaallaad 7" xfId="578"/>
    <cellStyle name="Normaallaad 7 2" xfId="579"/>
    <cellStyle name="Normaallaad 8" xfId="580"/>
    <cellStyle name="Normaallaad 8 2" xfId="581"/>
    <cellStyle name="Normaallaad 9" xfId="582"/>
    <cellStyle name="Normaallaad 9 2" xfId="583"/>
    <cellStyle name="Normaallaad_Leht1" xfId="584"/>
    <cellStyle name="Normal 2" xfId="585"/>
    <cellStyle name="Normal 2 10" xfId="586"/>
    <cellStyle name="Normal 2 11" xfId="587"/>
    <cellStyle name="Normal 2 2" xfId="588"/>
    <cellStyle name="Normal 2 2 2" xfId="589"/>
    <cellStyle name="Normal 2 2 2 2" xfId="590"/>
    <cellStyle name="Normal 2 2 3" xfId="591"/>
    <cellStyle name="Normal 2 2 4" xfId="592"/>
    <cellStyle name="Normal 2 3" xfId="593"/>
    <cellStyle name="Normal 2 3 2" xfId="594"/>
    <cellStyle name="Normal 2 3 3" xfId="595"/>
    <cellStyle name="Normal 2 4" xfId="596"/>
    <cellStyle name="Normal 2 4 2" xfId="597"/>
    <cellStyle name="Normal 2 4 3" xfId="598"/>
    <cellStyle name="Normal 2 5" xfId="599"/>
    <cellStyle name="Normal 2 6" xfId="600"/>
    <cellStyle name="Normal 2 7" xfId="601"/>
    <cellStyle name="Normal 2 8" xfId="602"/>
    <cellStyle name="Normal 2 9" xfId="603"/>
    <cellStyle name="Normal 21" xfId="604"/>
    <cellStyle name="Normal 3" xfId="605"/>
    <cellStyle name="Normal 3 2" xfId="606"/>
    <cellStyle name="Normal 3 2 2" xfId="607"/>
    <cellStyle name="Normal 3 2 3" xfId="608"/>
    <cellStyle name="Normal 3 3" xfId="609"/>
    <cellStyle name="Normal 3 3 2" xfId="610"/>
    <cellStyle name="Normal 3 3 3" xfId="611"/>
    <cellStyle name="Normal 3 4" xfId="612"/>
    <cellStyle name="Normal 3 4 2" xfId="613"/>
    <cellStyle name="Normal 4" xfId="614"/>
    <cellStyle name="Normal 4 2" xfId="615"/>
    <cellStyle name="Normal 4 3" xfId="616"/>
    <cellStyle name="Normal 4 4" xfId="617"/>
    <cellStyle name="Normal 5" xfId="618"/>
    <cellStyle name="Normal 6" xfId="619"/>
    <cellStyle name="Normal 6 2" xfId="620"/>
    <cellStyle name="Normal 6 3" xfId="621"/>
    <cellStyle name="Normal 6 4" xfId="622"/>
    <cellStyle name="Normal 7" xfId="623"/>
    <cellStyle name="Normal 8" xfId="624"/>
    <cellStyle name="Normal_Sheet1 2" xfId="625"/>
    <cellStyle name="Note 2" xfId="626"/>
    <cellStyle name="Note 3" xfId="627"/>
    <cellStyle name="Output 2" xfId="628"/>
    <cellStyle name="Output 3" xfId="629"/>
    <cellStyle name="Pealkiri" xfId="630"/>
    <cellStyle name="Pealkiri 1" xfId="631"/>
    <cellStyle name="Pealkiri 2" xfId="632"/>
    <cellStyle name="Pealkiri 3" xfId="633"/>
    <cellStyle name="Pealkiri 4" xfId="634"/>
    <cellStyle name="Percent 2" xfId="635"/>
    <cellStyle name="Percent 2 2" xfId="636"/>
    <cellStyle name="Percent 2 3" xfId="637"/>
    <cellStyle name="Percent 2 4" xfId="638"/>
    <cellStyle name="Percent 2 5" xfId="639"/>
    <cellStyle name="Percent 2 6" xfId="640"/>
    <cellStyle name="Percent 3" xfId="641"/>
    <cellStyle name="Percent 3 2" xfId="642"/>
    <cellStyle name="Percent 3 3" xfId="643"/>
    <cellStyle name="Percent 3 4" xfId="644"/>
    <cellStyle name="Percent 4 2" xfId="645"/>
    <cellStyle name="Percent 4 3" xfId="646"/>
    <cellStyle name="Percent 4 4" xfId="647"/>
    <cellStyle name="Percent" xfId="648"/>
    <cellStyle name="Rõhk1" xfId="649"/>
    <cellStyle name="Rõhk2" xfId="650"/>
    <cellStyle name="Rõhk3" xfId="651"/>
    <cellStyle name="Rõhk4" xfId="652"/>
    <cellStyle name="Rõhk5" xfId="653"/>
    <cellStyle name="Rõhk6" xfId="654"/>
    <cellStyle name="Selgitav tekst" xfId="655"/>
    <cellStyle name="Sisestus" xfId="656"/>
    <cellStyle name="Title 2" xfId="657"/>
    <cellStyle name="Title 3" xfId="658"/>
    <cellStyle name="Total 2" xfId="659"/>
    <cellStyle name="Total 3" xfId="660"/>
    <cellStyle name="Currency" xfId="661"/>
    <cellStyle name="Currency [0]" xfId="662"/>
    <cellStyle name="Warning Text 2" xfId="663"/>
    <cellStyle name="Warning Text 3" xfId="664"/>
    <cellStyle name="Väljund" xfId="665"/>
    <cellStyle name="Акцент1" xfId="666"/>
    <cellStyle name="Акцент2" xfId="667"/>
    <cellStyle name="Акцент3" xfId="668"/>
    <cellStyle name="Акцент4" xfId="669"/>
    <cellStyle name="Акцент5" xfId="670"/>
    <cellStyle name="Акцент6" xfId="671"/>
    <cellStyle name="Ввод " xfId="672"/>
    <cellStyle name="Вывод" xfId="673"/>
    <cellStyle name="Вычисление" xfId="674"/>
    <cellStyle name="Заголовок 1" xfId="675"/>
    <cellStyle name="Заголовок 2" xfId="676"/>
    <cellStyle name="Заголовок 3" xfId="677"/>
    <cellStyle name="Заголовок 4" xfId="678"/>
    <cellStyle name="Итог" xfId="679"/>
    <cellStyle name="Контрольная ячейка" xfId="680"/>
    <cellStyle name="Название" xfId="681"/>
    <cellStyle name="Нейтральный" xfId="682"/>
    <cellStyle name="Плохой" xfId="683"/>
    <cellStyle name="Пояснение" xfId="684"/>
    <cellStyle name="Примечание" xfId="685"/>
    <cellStyle name="Связанная ячейка" xfId="686"/>
    <cellStyle name="Текст предупреждения" xfId="687"/>
    <cellStyle name="Хороший" xfId="6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Q47" sqref="Q47"/>
    </sheetView>
  </sheetViews>
  <sheetFormatPr defaultColWidth="9.140625" defaultRowHeight="15"/>
  <cols>
    <col min="1" max="2" width="9.140625" style="22" customWidth="1"/>
    <col min="3" max="3" width="36.140625" style="22" bestFit="1" customWidth="1"/>
    <col min="4" max="4" width="11.140625" style="22" bestFit="1" customWidth="1"/>
    <col min="5" max="5" width="11.28125" style="22" customWidth="1"/>
    <col min="6" max="6" width="9.140625" style="22" customWidth="1"/>
    <col min="7" max="7" width="10.28125" style="22" customWidth="1"/>
    <col min="8" max="16384" width="9.140625" style="22" customWidth="1"/>
  </cols>
  <sheetData>
    <row r="1" spans="1:9" ht="15" thickBot="1">
      <c r="A1" s="234" t="s">
        <v>310</v>
      </c>
      <c r="B1" s="235"/>
      <c r="C1" s="236"/>
      <c r="D1" s="237"/>
      <c r="E1" s="237"/>
      <c r="F1" s="1"/>
      <c r="G1" s="238"/>
      <c r="H1" s="1"/>
      <c r="I1" s="1"/>
    </row>
    <row r="2" spans="1:9" ht="15.75">
      <c r="A2" s="368" t="s">
        <v>60</v>
      </c>
      <c r="B2" s="369"/>
      <c r="C2" s="369"/>
      <c r="D2" s="369"/>
      <c r="E2" s="369"/>
      <c r="F2" s="369"/>
      <c r="G2" s="1"/>
      <c r="H2" s="1"/>
      <c r="I2" s="1"/>
    </row>
    <row r="3" spans="1:9" ht="12.75">
      <c r="A3" s="376"/>
      <c r="B3" s="377" t="s">
        <v>61</v>
      </c>
      <c r="C3" s="378">
        <v>42551</v>
      </c>
      <c r="D3" s="414" t="s">
        <v>62</v>
      </c>
      <c r="E3" s="465" t="s">
        <v>63</v>
      </c>
      <c r="F3" s="467" t="s">
        <v>64</v>
      </c>
      <c r="G3" s="469">
        <v>2015</v>
      </c>
      <c r="H3" s="470" t="s">
        <v>65</v>
      </c>
      <c r="I3" s="467"/>
    </row>
    <row r="4" spans="1:9" ht="12.75">
      <c r="A4" s="405" t="s">
        <v>66</v>
      </c>
      <c r="B4" s="406"/>
      <c r="C4" s="407" t="s">
        <v>67</v>
      </c>
      <c r="D4" s="415"/>
      <c r="E4" s="466"/>
      <c r="F4" s="468"/>
      <c r="G4" s="471" t="s">
        <v>68</v>
      </c>
      <c r="H4" s="471" t="s">
        <v>69</v>
      </c>
      <c r="I4" s="472" t="s">
        <v>64</v>
      </c>
    </row>
    <row r="5" spans="1:9" ht="12.75">
      <c r="A5" s="409"/>
      <c r="B5" s="410" t="s">
        <v>70</v>
      </c>
      <c r="C5" s="411"/>
      <c r="D5" s="416">
        <v>124283003</v>
      </c>
      <c r="E5" s="412">
        <v>71994151.28</v>
      </c>
      <c r="F5" s="413">
        <v>0.5792759230318888</v>
      </c>
      <c r="G5" s="412">
        <v>66759072.38000001</v>
      </c>
      <c r="H5" s="412">
        <v>5235078.899999991</v>
      </c>
      <c r="I5" s="413">
        <v>0.07841749013828928</v>
      </c>
    </row>
    <row r="6" spans="1:9" ht="12.75">
      <c r="A6" s="379">
        <v>30</v>
      </c>
      <c r="B6" s="2" t="s">
        <v>71</v>
      </c>
      <c r="C6" s="3"/>
      <c r="D6" s="417">
        <v>66077500</v>
      </c>
      <c r="E6" s="374">
        <v>33189536.73</v>
      </c>
      <c r="F6" s="383">
        <v>0.502281967840793</v>
      </c>
      <c r="G6" s="374">
        <v>31212200.87</v>
      </c>
      <c r="H6" s="374">
        <v>1977335.8599999994</v>
      </c>
      <c r="I6" s="408">
        <v>0.06335137558019949</v>
      </c>
    </row>
    <row r="7" spans="1:9" ht="12.75">
      <c r="A7" s="380">
        <v>3000</v>
      </c>
      <c r="B7" s="4"/>
      <c r="C7" s="5" t="s">
        <v>72</v>
      </c>
      <c r="D7" s="418">
        <v>64200000</v>
      </c>
      <c r="E7" s="460">
        <v>32135070</v>
      </c>
      <c r="F7" s="461">
        <v>0.500546261682243</v>
      </c>
      <c r="G7" s="215">
        <v>30222758</v>
      </c>
      <c r="H7" s="215">
        <v>1912312</v>
      </c>
      <c r="I7" s="381">
        <v>0.06327390769565107</v>
      </c>
    </row>
    <row r="8" spans="1:9" ht="12.75">
      <c r="A8" s="380">
        <v>3030</v>
      </c>
      <c r="B8" s="4"/>
      <c r="C8" s="5" t="s">
        <v>73</v>
      </c>
      <c r="D8" s="419">
        <v>700000</v>
      </c>
      <c r="E8" s="215">
        <v>418689</v>
      </c>
      <c r="F8" s="381">
        <v>0.5981271428571429</v>
      </c>
      <c r="G8" s="215">
        <v>415817</v>
      </c>
      <c r="H8" s="215">
        <v>2872</v>
      </c>
      <c r="I8" s="381">
        <v>0.006906884518910963</v>
      </c>
    </row>
    <row r="9" spans="1:9" ht="12.75">
      <c r="A9" s="380">
        <v>3044</v>
      </c>
      <c r="B9" s="4"/>
      <c r="C9" s="5" t="s">
        <v>74</v>
      </c>
      <c r="D9" s="419">
        <v>405000</v>
      </c>
      <c r="E9" s="215">
        <v>232355.49</v>
      </c>
      <c r="F9" s="381">
        <v>0.5737172592592592</v>
      </c>
      <c r="G9" s="215">
        <v>203534.16</v>
      </c>
      <c r="H9" s="215">
        <v>28821.329999999987</v>
      </c>
      <c r="I9" s="381">
        <v>0.1416043871947588</v>
      </c>
    </row>
    <row r="10" spans="1:9" ht="12.75">
      <c r="A10" s="380">
        <v>3045</v>
      </c>
      <c r="B10" s="4"/>
      <c r="C10" s="5" t="s">
        <v>75</v>
      </c>
      <c r="D10" s="419">
        <v>253500</v>
      </c>
      <c r="E10" s="215">
        <v>107547.44</v>
      </c>
      <c r="F10" s="381">
        <v>0.42425025641025643</v>
      </c>
      <c r="G10" s="215">
        <v>151176.36</v>
      </c>
      <c r="H10" s="215">
        <v>-43628.919999999984</v>
      </c>
      <c r="I10" s="381">
        <v>-0.2885961799847542</v>
      </c>
    </row>
    <row r="11" spans="1:9" ht="12.75">
      <c r="A11" s="380">
        <v>3047</v>
      </c>
      <c r="B11" s="4"/>
      <c r="C11" s="6" t="s">
        <v>76</v>
      </c>
      <c r="D11" s="419">
        <v>519000</v>
      </c>
      <c r="E11" s="215">
        <v>295874.8</v>
      </c>
      <c r="F11" s="462">
        <v>0.5700863198458574</v>
      </c>
      <c r="G11" s="215">
        <v>218915.35</v>
      </c>
      <c r="H11" s="215">
        <v>76959.44999999998</v>
      </c>
      <c r="I11" s="381">
        <v>0.3515488977817224</v>
      </c>
    </row>
    <row r="12" spans="1:9" ht="12.75">
      <c r="A12" s="382">
        <v>32</v>
      </c>
      <c r="B12" s="7" t="s">
        <v>77</v>
      </c>
      <c r="C12" s="8"/>
      <c r="D12" s="420">
        <v>17271759</v>
      </c>
      <c r="E12" s="216">
        <v>9233359.819999998</v>
      </c>
      <c r="F12" s="383">
        <v>0.5345929051001695</v>
      </c>
      <c r="G12" s="216">
        <v>8623750.000000002</v>
      </c>
      <c r="H12" s="216">
        <v>609609.8199999966</v>
      </c>
      <c r="I12" s="383">
        <v>0.0706896442962744</v>
      </c>
    </row>
    <row r="13" spans="1:9" ht="12.75">
      <c r="A13" s="382" t="s">
        <v>78</v>
      </c>
      <c r="B13" s="7" t="s">
        <v>79</v>
      </c>
      <c r="C13" s="8"/>
      <c r="D13" s="420">
        <v>38474485</v>
      </c>
      <c r="E13" s="216">
        <v>29052346.09</v>
      </c>
      <c r="F13" s="383">
        <v>0.7551068218327028</v>
      </c>
      <c r="G13" s="216">
        <v>26593792.2</v>
      </c>
      <c r="H13" s="217">
        <v>2458553.8900000006</v>
      </c>
      <c r="I13" s="383">
        <v>0.09244841320524422</v>
      </c>
    </row>
    <row r="14" spans="1:9" ht="12.75">
      <c r="A14" s="380" t="s">
        <v>80</v>
      </c>
      <c r="B14" s="4"/>
      <c r="C14" s="5" t="s">
        <v>81</v>
      </c>
      <c r="D14" s="419">
        <v>5028291</v>
      </c>
      <c r="E14" s="215">
        <v>4386525</v>
      </c>
      <c r="F14" s="461">
        <v>0.8723689619395536</v>
      </c>
      <c r="G14" s="215">
        <v>4918342</v>
      </c>
      <c r="H14" s="215">
        <v>-531817</v>
      </c>
      <c r="I14" s="381">
        <v>-0.1081293248822469</v>
      </c>
    </row>
    <row r="15" spans="1:9" ht="12.75">
      <c r="A15" s="380" t="s">
        <v>82</v>
      </c>
      <c r="B15" s="4"/>
      <c r="C15" s="6" t="s">
        <v>83</v>
      </c>
      <c r="D15" s="419">
        <v>21727938</v>
      </c>
      <c r="E15" s="215">
        <v>16945023</v>
      </c>
      <c r="F15" s="381">
        <v>0.779872576955991</v>
      </c>
      <c r="G15" s="215">
        <v>15852868</v>
      </c>
      <c r="H15" s="215">
        <v>1092155</v>
      </c>
      <c r="I15" s="381">
        <v>0.06889321225660872</v>
      </c>
    </row>
    <row r="16" spans="1:9" ht="12.75">
      <c r="A16" s="380" t="s">
        <v>84</v>
      </c>
      <c r="B16" s="4"/>
      <c r="C16" s="6" t="s">
        <v>85</v>
      </c>
      <c r="D16" s="419">
        <v>11718256</v>
      </c>
      <c r="E16" s="215">
        <v>7720798.09</v>
      </c>
      <c r="F16" s="462">
        <v>0.6588692114253178</v>
      </c>
      <c r="G16" s="215">
        <v>5822582.2</v>
      </c>
      <c r="H16" s="215">
        <v>1898215.8899999997</v>
      </c>
      <c r="I16" s="381">
        <v>0.3260092901736964</v>
      </c>
    </row>
    <row r="17" spans="1:9" ht="12.75">
      <c r="A17" s="382" t="s">
        <v>86</v>
      </c>
      <c r="B17" s="7" t="s">
        <v>87</v>
      </c>
      <c r="C17" s="8"/>
      <c r="D17" s="420">
        <v>2459259</v>
      </c>
      <c r="E17" s="216">
        <v>518908.64</v>
      </c>
      <c r="F17" s="383">
        <v>0.21100202947310553</v>
      </c>
      <c r="G17" s="216">
        <v>329329.30999999994</v>
      </c>
      <c r="H17" s="216">
        <v>189579.33000000007</v>
      </c>
      <c r="I17" s="383">
        <v>0.5756527713855779</v>
      </c>
    </row>
    <row r="18" spans="1:9" ht="12.75">
      <c r="A18" s="384">
        <v>3818</v>
      </c>
      <c r="B18" s="9"/>
      <c r="C18" s="10" t="s">
        <v>88</v>
      </c>
      <c r="D18" s="421">
        <v>14000</v>
      </c>
      <c r="E18" s="463">
        <v>-646.8499999999999</v>
      </c>
      <c r="F18" s="385" t="s">
        <v>89</v>
      </c>
      <c r="G18" s="215">
        <v>1258.84</v>
      </c>
      <c r="H18" s="215">
        <v>-1905.6899999999998</v>
      </c>
      <c r="I18" s="385" t="s">
        <v>89</v>
      </c>
    </row>
    <row r="19" spans="1:9" ht="12.75">
      <c r="A19" s="380">
        <v>382540</v>
      </c>
      <c r="B19" s="4"/>
      <c r="C19" s="5" t="s">
        <v>90</v>
      </c>
      <c r="D19" s="421">
        <v>190000</v>
      </c>
      <c r="E19" s="218">
        <v>89263</v>
      </c>
      <c r="F19" s="381">
        <v>0.4698052631578947</v>
      </c>
      <c r="G19" s="215">
        <v>87029</v>
      </c>
      <c r="H19" s="215">
        <v>2234</v>
      </c>
      <c r="I19" s="381">
        <v>0.025669604384745314</v>
      </c>
    </row>
    <row r="20" spans="1:9" ht="12.75">
      <c r="A20" s="380">
        <v>3882</v>
      </c>
      <c r="B20" s="4"/>
      <c r="C20" s="5" t="s">
        <v>91</v>
      </c>
      <c r="D20" s="421">
        <v>0</v>
      </c>
      <c r="E20" s="218">
        <v>3346</v>
      </c>
      <c r="F20" s="381" t="e">
        <v>#DIV/0!</v>
      </c>
      <c r="G20" s="215">
        <v>1726</v>
      </c>
      <c r="H20" s="215">
        <v>1620</v>
      </c>
      <c r="I20" s="381">
        <v>0.9385863267670915</v>
      </c>
    </row>
    <row r="21" spans="1:9" ht="12.75">
      <c r="A21" s="380" t="s">
        <v>92</v>
      </c>
      <c r="B21" s="4"/>
      <c r="C21" s="5" t="s">
        <v>93</v>
      </c>
      <c r="D21" s="421">
        <v>2255259</v>
      </c>
      <c r="E21" s="464">
        <v>426946.49</v>
      </c>
      <c r="F21" s="386">
        <v>0.189311511449461</v>
      </c>
      <c r="G21" s="215">
        <v>239315.46999999997</v>
      </c>
      <c r="H21" s="218">
        <v>187631.02000000002</v>
      </c>
      <c r="I21" s="386">
        <v>0.784032139669032</v>
      </c>
    </row>
    <row r="22" spans="1:9" ht="12.75">
      <c r="A22" s="409"/>
      <c r="B22" s="410" t="s">
        <v>94</v>
      </c>
      <c r="C22" s="411"/>
      <c r="D22" s="416">
        <v>-116971119</v>
      </c>
      <c r="E22" s="412">
        <v>-58873309.47</v>
      </c>
      <c r="F22" s="427">
        <v>0.5033149205830886</v>
      </c>
      <c r="G22" s="412">
        <v>-55737174.54999999</v>
      </c>
      <c r="H22" s="412">
        <v>-3136134.9200000074</v>
      </c>
      <c r="I22" s="427">
        <v>0.05626648543489918</v>
      </c>
    </row>
    <row r="23" spans="1:9" ht="12.75">
      <c r="A23" s="382" t="s">
        <v>95</v>
      </c>
      <c r="B23" s="7" t="s">
        <v>96</v>
      </c>
      <c r="C23" s="8"/>
      <c r="D23" s="420">
        <v>-15623201</v>
      </c>
      <c r="E23" s="216">
        <v>-8515025.43</v>
      </c>
      <c r="F23" s="426">
        <v>0.545024379446952</v>
      </c>
      <c r="G23" s="216">
        <v>-7869524.87</v>
      </c>
      <c r="H23" s="216">
        <v>-645500.5599999996</v>
      </c>
      <c r="I23" s="426">
        <v>0.08202535358402134</v>
      </c>
    </row>
    <row r="24" spans="1:9" ht="12.75">
      <c r="A24" s="382"/>
      <c r="B24" s="7" t="s">
        <v>97</v>
      </c>
      <c r="C24" s="8"/>
      <c r="D24" s="420">
        <v>-101347918</v>
      </c>
      <c r="E24" s="216">
        <v>-50358284.04</v>
      </c>
      <c r="F24" s="387">
        <v>0.49688523487971403</v>
      </c>
      <c r="G24" s="216">
        <v>-47867649.67999999</v>
      </c>
      <c r="H24" s="217">
        <v>-2490634.360000008</v>
      </c>
      <c r="I24" s="387">
        <v>0.05203168270533746</v>
      </c>
    </row>
    <row r="25" spans="1:9" ht="12.75">
      <c r="A25" s="380">
        <v>50</v>
      </c>
      <c r="B25" s="4"/>
      <c r="C25" s="5" t="s">
        <v>309</v>
      </c>
      <c r="D25" s="419">
        <v>-55860615</v>
      </c>
      <c r="E25" s="215">
        <v>-28646750.660000004</v>
      </c>
      <c r="F25" s="381">
        <v>0.5128255508823167</v>
      </c>
      <c r="G25" s="215">
        <v>-27199669.039999995</v>
      </c>
      <c r="H25" s="215">
        <v>-1447081.6200000085</v>
      </c>
      <c r="I25" s="381">
        <v>0.053202177492377635</v>
      </c>
    </row>
    <row r="26" spans="1:9" ht="12.75">
      <c r="A26" s="388">
        <v>500</v>
      </c>
      <c r="B26" s="11"/>
      <c r="C26" s="12" t="s">
        <v>98</v>
      </c>
      <c r="D26" s="422">
        <v>-41642759</v>
      </c>
      <c r="E26" s="220">
        <v>-22397349.480000004</v>
      </c>
      <c r="F26" s="389">
        <v>0.537844994372251</v>
      </c>
      <c r="G26" s="219">
        <v>-21198662.069999997</v>
      </c>
      <c r="H26" s="220">
        <v>-1198687.4100000076</v>
      </c>
      <c r="I26" s="389">
        <v>0.05654542753886202</v>
      </c>
    </row>
    <row r="27" spans="1:9" ht="12.75">
      <c r="A27" s="380">
        <v>55</v>
      </c>
      <c r="B27" s="4"/>
      <c r="C27" s="5" t="s">
        <v>99</v>
      </c>
      <c r="D27" s="419">
        <v>-45033101</v>
      </c>
      <c r="E27" s="215">
        <v>-21580296.009999998</v>
      </c>
      <c r="F27" s="381">
        <v>0.4792096375952435</v>
      </c>
      <c r="G27" s="215">
        <v>-20515997.49</v>
      </c>
      <c r="H27" s="215">
        <v>-1064298.5199999996</v>
      </c>
      <c r="I27" s="381">
        <v>0.05187651833739816</v>
      </c>
    </row>
    <row r="28" spans="1:9" ht="12.75">
      <c r="A28" s="380">
        <v>60</v>
      </c>
      <c r="B28" s="4"/>
      <c r="C28" s="5" t="s">
        <v>100</v>
      </c>
      <c r="D28" s="419">
        <v>-454202</v>
      </c>
      <c r="E28" s="215">
        <v>-131237.37</v>
      </c>
      <c r="F28" s="381">
        <v>0.2889405374701124</v>
      </c>
      <c r="G28" s="215">
        <v>-151983.15</v>
      </c>
      <c r="H28" s="221">
        <v>20745.78</v>
      </c>
      <c r="I28" s="390">
        <v>-0.13650052653863273</v>
      </c>
    </row>
    <row r="29" spans="1:9" ht="12.75">
      <c r="A29" s="428"/>
      <c r="B29" s="429" t="s">
        <v>101</v>
      </c>
      <c r="C29" s="430"/>
      <c r="D29" s="431">
        <v>7311884</v>
      </c>
      <c r="E29" s="433">
        <v>13120841.810000002</v>
      </c>
      <c r="F29" s="432"/>
      <c r="G29" s="433">
        <v>11021897.83000002</v>
      </c>
      <c r="H29" s="433">
        <v>2098943.9799999837</v>
      </c>
      <c r="I29" s="432">
        <v>0.1904339898966365</v>
      </c>
    </row>
    <row r="30" spans="1:9" ht="12.75">
      <c r="A30" s="434"/>
      <c r="B30" s="435" t="s">
        <v>102</v>
      </c>
      <c r="C30" s="436"/>
      <c r="D30" s="437">
        <v>-15835212</v>
      </c>
      <c r="E30" s="438">
        <v>-2335369.4399999995</v>
      </c>
      <c r="F30" s="427">
        <v>0.14747951843019214</v>
      </c>
      <c r="G30" s="438">
        <v>-1846629.5799999991</v>
      </c>
      <c r="H30" s="438">
        <v>-488739.86000000127</v>
      </c>
      <c r="I30" s="427">
        <v>0.2646658893008751</v>
      </c>
    </row>
    <row r="31" spans="1:9" ht="12.75">
      <c r="A31" s="388"/>
      <c r="B31" s="13" t="s">
        <v>103</v>
      </c>
      <c r="C31" s="12"/>
      <c r="D31" s="422">
        <v>15064610</v>
      </c>
      <c r="E31" s="220">
        <v>2493825.73</v>
      </c>
      <c r="F31" s="389">
        <v>0.16554200407445</v>
      </c>
      <c r="G31" s="220">
        <v>6793568.55</v>
      </c>
      <c r="H31" s="220">
        <v>-4299742.82</v>
      </c>
      <c r="I31" s="389">
        <v>-0.6329137313260791</v>
      </c>
    </row>
    <row r="32" spans="1:9" ht="12.75">
      <c r="A32" s="388"/>
      <c r="B32" s="13" t="s">
        <v>104</v>
      </c>
      <c r="C32" s="12"/>
      <c r="D32" s="422">
        <v>-31199822</v>
      </c>
      <c r="E32" s="220">
        <v>-4829195.17</v>
      </c>
      <c r="F32" s="389">
        <v>0.15478277952996014</v>
      </c>
      <c r="G32" s="220">
        <v>-8640198.129999999</v>
      </c>
      <c r="H32" s="220">
        <v>3811002.959999999</v>
      </c>
      <c r="I32" s="389">
        <v>-0.4410781908770881</v>
      </c>
    </row>
    <row r="33" spans="1:9" ht="12.75">
      <c r="A33" s="380">
        <v>381</v>
      </c>
      <c r="B33" s="4"/>
      <c r="C33" s="5" t="s">
        <v>105</v>
      </c>
      <c r="D33" s="419">
        <v>967161</v>
      </c>
      <c r="E33" s="215">
        <v>439295.6</v>
      </c>
      <c r="F33" s="381">
        <v>0.45421144979998157</v>
      </c>
      <c r="G33" s="215">
        <v>415430.67</v>
      </c>
      <c r="H33" s="215">
        <v>23864.929999999993</v>
      </c>
      <c r="I33" s="381">
        <v>0.05744624006696471</v>
      </c>
    </row>
    <row r="34" spans="1:9" ht="12.75">
      <c r="A34" s="380">
        <v>15</v>
      </c>
      <c r="B34" s="4"/>
      <c r="C34" s="5" t="s">
        <v>106</v>
      </c>
      <c r="D34" s="419">
        <v>-28821610</v>
      </c>
      <c r="E34" s="215">
        <v>-3920631.3299999996</v>
      </c>
      <c r="F34" s="381">
        <v>0.1360309618373158</v>
      </c>
      <c r="G34" s="215">
        <v>-7418004.66</v>
      </c>
      <c r="H34" s="215">
        <v>3497373.3300000005</v>
      </c>
      <c r="I34" s="381">
        <v>-0.4714708995612845</v>
      </c>
    </row>
    <row r="35" spans="1:9" ht="12.75">
      <c r="A35" s="380">
        <v>3502</v>
      </c>
      <c r="B35" s="4"/>
      <c r="C35" s="5" t="s">
        <v>107</v>
      </c>
      <c r="D35" s="419">
        <v>14082449</v>
      </c>
      <c r="E35" s="215">
        <v>2050654.61</v>
      </c>
      <c r="F35" s="381">
        <v>0.14561775512199618</v>
      </c>
      <c r="G35" s="215">
        <v>6372771.88</v>
      </c>
      <c r="H35" s="215">
        <v>-4322117.27</v>
      </c>
      <c r="I35" s="381">
        <v>-0.6782162222947795</v>
      </c>
    </row>
    <row r="36" spans="1:9" ht="12.75">
      <c r="A36" s="380">
        <v>4502</v>
      </c>
      <c r="B36" s="4"/>
      <c r="C36" s="5" t="s">
        <v>108</v>
      </c>
      <c r="D36" s="419">
        <v>-1723197</v>
      </c>
      <c r="E36" s="215">
        <v>-632612</v>
      </c>
      <c r="F36" s="381">
        <v>0.36711530950901144</v>
      </c>
      <c r="G36" s="215">
        <v>-891367.01</v>
      </c>
      <c r="H36" s="215">
        <v>258755.01</v>
      </c>
      <c r="I36" s="381">
        <v>-0.2902900904981888</v>
      </c>
    </row>
    <row r="37" spans="1:9" ht="12.75">
      <c r="A37" s="391" t="s">
        <v>305</v>
      </c>
      <c r="B37" s="14"/>
      <c r="C37" s="5" t="s">
        <v>306</v>
      </c>
      <c r="D37" s="419">
        <v>300000</v>
      </c>
      <c r="E37" s="215">
        <v>0</v>
      </c>
      <c r="F37" s="381">
        <v>0</v>
      </c>
      <c r="G37" s="215">
        <v>0</v>
      </c>
      <c r="H37" s="215">
        <v>0</v>
      </c>
      <c r="I37" s="385" t="s">
        <v>89</v>
      </c>
    </row>
    <row r="38" spans="1:9" ht="12.75">
      <c r="A38" s="391" t="s">
        <v>307</v>
      </c>
      <c r="B38" s="14"/>
      <c r="C38" s="5" t="s">
        <v>308</v>
      </c>
      <c r="D38" s="419">
        <v>0</v>
      </c>
      <c r="E38" s="215">
        <v>0</v>
      </c>
      <c r="F38" s="381"/>
      <c r="G38" s="215">
        <v>0</v>
      </c>
      <c r="H38" s="215">
        <v>0</v>
      </c>
      <c r="I38" s="385" t="s">
        <v>89</v>
      </c>
    </row>
    <row r="39" spans="1:9" ht="12.75">
      <c r="A39" s="392">
        <v>382</v>
      </c>
      <c r="B39" s="14"/>
      <c r="C39" s="5" t="s">
        <v>109</v>
      </c>
      <c r="D39" s="419">
        <v>15000</v>
      </c>
      <c r="E39" s="215">
        <v>3875.5199999999995</v>
      </c>
      <c r="F39" s="381">
        <v>0.258368</v>
      </c>
      <c r="G39" s="215">
        <v>5366</v>
      </c>
      <c r="H39" s="215">
        <v>-1490.4800000000005</v>
      </c>
      <c r="I39" s="381">
        <v>-0.27776369735370865</v>
      </c>
    </row>
    <row r="40" spans="1:9" ht="12.75">
      <c r="A40" s="380">
        <v>65</v>
      </c>
      <c r="B40" s="4"/>
      <c r="C40" s="5" t="s">
        <v>110</v>
      </c>
      <c r="D40" s="419">
        <v>-655015</v>
      </c>
      <c r="E40" s="215">
        <v>-275951.83999999997</v>
      </c>
      <c r="F40" s="381">
        <v>0.42129087120142283</v>
      </c>
      <c r="G40" s="215">
        <v>-330826.45999999996</v>
      </c>
      <c r="H40" s="221">
        <v>54874.619999999995</v>
      </c>
      <c r="I40" s="390">
        <v>-0.16587131512999292</v>
      </c>
    </row>
    <row r="41" spans="1:9" ht="12.75">
      <c r="A41" s="439"/>
      <c r="B41" s="440" t="s">
        <v>111</v>
      </c>
      <c r="C41" s="441"/>
      <c r="D41" s="431">
        <v>-8523328</v>
      </c>
      <c r="E41" s="433">
        <v>10785472.370000003</v>
      </c>
      <c r="F41" s="432">
        <v>-1.2654062321665906</v>
      </c>
      <c r="G41" s="433">
        <v>9175268.250000022</v>
      </c>
      <c r="H41" s="433">
        <v>1610204.1199999824</v>
      </c>
      <c r="I41" s="432">
        <v>0.1754939557216737</v>
      </c>
    </row>
    <row r="42" spans="1:9" ht="12.75">
      <c r="A42" s="442"/>
      <c r="B42" s="435" t="s">
        <v>112</v>
      </c>
      <c r="C42" s="436"/>
      <c r="D42" s="437">
        <v>3362930</v>
      </c>
      <c r="E42" s="438">
        <v>-889686.01</v>
      </c>
      <c r="F42" s="427">
        <v>-0.2645568031448766</v>
      </c>
      <c r="G42" s="438">
        <v>-903655.21</v>
      </c>
      <c r="H42" s="438">
        <v>13969.199999999953</v>
      </c>
      <c r="I42" s="427">
        <v>-0.015458550833785327</v>
      </c>
    </row>
    <row r="43" spans="1:9" ht="12.75">
      <c r="A43" s="391" t="s">
        <v>113</v>
      </c>
      <c r="B43" s="375"/>
      <c r="C43" s="9" t="s">
        <v>114</v>
      </c>
      <c r="D43" s="419">
        <v>11687130</v>
      </c>
      <c r="E43" s="215">
        <v>0</v>
      </c>
      <c r="F43" s="381">
        <v>0</v>
      </c>
      <c r="G43" s="215">
        <v>0</v>
      </c>
      <c r="H43" s="215">
        <v>0</v>
      </c>
      <c r="I43" s="385" t="s">
        <v>89</v>
      </c>
    </row>
    <row r="44" spans="1:9" ht="12.75">
      <c r="A44" s="393" t="s">
        <v>115</v>
      </c>
      <c r="B44" s="15"/>
      <c r="C44" s="16" t="s">
        <v>116</v>
      </c>
      <c r="D44" s="422">
        <v>11687130</v>
      </c>
      <c r="E44" s="220">
        <v>0</v>
      </c>
      <c r="F44" s="394" t="s">
        <v>89</v>
      </c>
      <c r="G44" s="220">
        <v>0</v>
      </c>
      <c r="H44" s="220">
        <v>0</v>
      </c>
      <c r="I44" s="394" t="s">
        <v>89</v>
      </c>
    </row>
    <row r="45" spans="1:9" ht="12.75">
      <c r="A45" s="393" t="s">
        <v>117</v>
      </c>
      <c r="B45" s="15"/>
      <c r="C45" s="16" t="s">
        <v>118</v>
      </c>
      <c r="D45" s="422">
        <v>0</v>
      </c>
      <c r="E45" s="220">
        <v>0</v>
      </c>
      <c r="F45" s="394" t="s">
        <v>89</v>
      </c>
      <c r="G45" s="220">
        <v>0</v>
      </c>
      <c r="H45" s="220">
        <v>0</v>
      </c>
      <c r="I45" s="394" t="s">
        <v>89</v>
      </c>
    </row>
    <row r="46" spans="1:9" ht="12.75">
      <c r="A46" s="393" t="s">
        <v>119</v>
      </c>
      <c r="B46" s="15"/>
      <c r="C46" s="16" t="s">
        <v>120</v>
      </c>
      <c r="D46" s="422">
        <v>0</v>
      </c>
      <c r="E46" s="220">
        <v>0</v>
      </c>
      <c r="F46" s="394" t="s">
        <v>89</v>
      </c>
      <c r="G46" s="220">
        <v>0</v>
      </c>
      <c r="H46" s="220">
        <v>0</v>
      </c>
      <c r="I46" s="394" t="s">
        <v>89</v>
      </c>
    </row>
    <row r="47" spans="1:9" ht="12.75">
      <c r="A47" s="391" t="s">
        <v>121</v>
      </c>
      <c r="B47" s="375"/>
      <c r="C47" s="9" t="s">
        <v>122</v>
      </c>
      <c r="D47" s="419">
        <v>-8324200</v>
      </c>
      <c r="E47" s="215">
        <v>-889686.01</v>
      </c>
      <c r="F47" s="381">
        <v>0.10687946108935394</v>
      </c>
      <c r="G47" s="215">
        <v>-903655.21</v>
      </c>
      <c r="H47" s="215">
        <v>13969.199999999953</v>
      </c>
      <c r="I47" s="381">
        <v>-0.015458550833785327</v>
      </c>
    </row>
    <row r="48" spans="1:9" ht="12.75">
      <c r="A48" s="393" t="s">
        <v>123</v>
      </c>
      <c r="B48" s="15"/>
      <c r="C48" s="16" t="s">
        <v>295</v>
      </c>
      <c r="D48" s="422">
        <v>-7987130</v>
      </c>
      <c r="E48" s="220">
        <v>-739884.6</v>
      </c>
      <c r="F48" s="394" t="s">
        <v>89</v>
      </c>
      <c r="G48" s="220">
        <v>-739884.6</v>
      </c>
      <c r="H48" s="220">
        <v>0</v>
      </c>
      <c r="I48" s="394" t="s">
        <v>89</v>
      </c>
    </row>
    <row r="49" spans="1:9" ht="12.75">
      <c r="A49" s="393" t="s">
        <v>124</v>
      </c>
      <c r="B49" s="15"/>
      <c r="C49" s="16" t="s">
        <v>296</v>
      </c>
      <c r="D49" s="422">
        <v>0</v>
      </c>
      <c r="E49" s="220">
        <v>0</v>
      </c>
      <c r="F49" s="394" t="s">
        <v>89</v>
      </c>
      <c r="G49" s="220">
        <v>0</v>
      </c>
      <c r="H49" s="220">
        <v>0</v>
      </c>
      <c r="I49" s="394" t="s">
        <v>89</v>
      </c>
    </row>
    <row r="50" spans="1:9" ht="12.75">
      <c r="A50" s="393" t="s">
        <v>125</v>
      </c>
      <c r="B50" s="15"/>
      <c r="C50" s="16" t="s">
        <v>297</v>
      </c>
      <c r="D50" s="422">
        <v>-337070</v>
      </c>
      <c r="E50" s="220">
        <v>-149801.41</v>
      </c>
      <c r="F50" s="389">
        <v>0.4444222565045836</v>
      </c>
      <c r="G50" s="220">
        <v>-163770.61</v>
      </c>
      <c r="H50" s="220">
        <v>13969.199999999983</v>
      </c>
      <c r="I50" s="389">
        <v>-0.0852973558564628</v>
      </c>
    </row>
    <row r="51" spans="1:9" ht="12.75">
      <c r="A51" s="434">
        <v>1001</v>
      </c>
      <c r="B51" s="410" t="s">
        <v>126</v>
      </c>
      <c r="C51" s="444"/>
      <c r="D51" s="445">
        <v>-5160398</v>
      </c>
      <c r="E51" s="446">
        <v>9895786.360000003</v>
      </c>
      <c r="F51" s="427"/>
      <c r="G51" s="446">
        <v>8271613.040000022</v>
      </c>
      <c r="H51" s="438">
        <v>1624173.3199999807</v>
      </c>
      <c r="I51" s="427"/>
    </row>
    <row r="52" spans="1:10" ht="12.75">
      <c r="A52" s="392"/>
      <c r="B52" s="14"/>
      <c r="C52" s="443"/>
      <c r="D52" s="457"/>
      <c r="E52" s="447"/>
      <c r="F52" s="455"/>
      <c r="G52" s="456"/>
      <c r="H52" s="222"/>
      <c r="I52" s="458"/>
      <c r="J52" s="459"/>
    </row>
    <row r="53" spans="1:9" ht="12.75">
      <c r="A53" s="448"/>
      <c r="B53" s="449" t="s">
        <v>127</v>
      </c>
      <c r="C53" s="450"/>
      <c r="D53" s="452">
        <v>116858980</v>
      </c>
      <c r="E53" s="453">
        <v>58841043.980000004</v>
      </c>
      <c r="F53" s="454">
        <v>0.5035218002073953</v>
      </c>
      <c r="G53" s="453">
        <v>56023288.839999996</v>
      </c>
      <c r="H53" s="453">
        <v>2817755.140000009</v>
      </c>
      <c r="I53" s="454">
        <v>0.050296139308197194</v>
      </c>
    </row>
    <row r="54" spans="1:9" ht="12.75">
      <c r="A54" s="395" t="s">
        <v>128</v>
      </c>
      <c r="B54" s="17" t="s">
        <v>7</v>
      </c>
      <c r="C54" s="451"/>
      <c r="D54" s="424">
        <v>8759681</v>
      </c>
      <c r="E54" s="20">
        <v>3883705.8600000003</v>
      </c>
      <c r="F54" s="396">
        <v>0.4433615630523532</v>
      </c>
      <c r="G54" s="424">
        <v>3637696.6</v>
      </c>
      <c r="H54" s="20">
        <v>246009.26000000024</v>
      </c>
      <c r="I54" s="396">
        <v>0.06762775653142712</v>
      </c>
    </row>
    <row r="55" spans="1:9" ht="12.75">
      <c r="A55" s="395" t="s">
        <v>129</v>
      </c>
      <c r="B55" s="17" t="s">
        <v>130</v>
      </c>
      <c r="C55" s="18"/>
      <c r="D55" s="424">
        <v>468287</v>
      </c>
      <c r="E55" s="20">
        <v>211327.75</v>
      </c>
      <c r="F55" s="396">
        <v>0.45127827592907765</v>
      </c>
      <c r="G55" s="20">
        <v>166217.86</v>
      </c>
      <c r="H55" s="20">
        <v>45109.890000000014</v>
      </c>
      <c r="I55" s="396">
        <v>0.27139015025220525</v>
      </c>
    </row>
    <row r="56" spans="1:9" ht="12.75">
      <c r="A56" s="395" t="s">
        <v>131</v>
      </c>
      <c r="B56" s="17" t="s">
        <v>18</v>
      </c>
      <c r="C56" s="18"/>
      <c r="D56" s="424">
        <v>13746885</v>
      </c>
      <c r="E56" s="20">
        <v>6342031.789999999</v>
      </c>
      <c r="F56" s="396">
        <v>0.4613431908392337</v>
      </c>
      <c r="G56" s="20">
        <v>5919723.609999999</v>
      </c>
      <c r="H56" s="20">
        <v>422308.1799999997</v>
      </c>
      <c r="I56" s="396">
        <v>0.07133917186380256</v>
      </c>
    </row>
    <row r="57" spans="1:9" ht="12.75">
      <c r="A57" s="395" t="s">
        <v>132</v>
      </c>
      <c r="B57" s="17" t="s">
        <v>30</v>
      </c>
      <c r="C57" s="18"/>
      <c r="D57" s="424">
        <v>5271367</v>
      </c>
      <c r="E57" s="20">
        <v>2844462.2399999998</v>
      </c>
      <c r="F57" s="396">
        <v>0.5396061856440654</v>
      </c>
      <c r="G57" s="20">
        <v>2848992.1500000004</v>
      </c>
      <c r="H57" s="20">
        <v>-4529.910000000615</v>
      </c>
      <c r="I57" s="396">
        <v>-0.0015900043810231678</v>
      </c>
    </row>
    <row r="58" spans="1:9" ht="12.75">
      <c r="A58" s="395" t="s">
        <v>133</v>
      </c>
      <c r="B58" s="17" t="s">
        <v>134</v>
      </c>
      <c r="C58" s="18"/>
      <c r="D58" s="424">
        <v>2259158</v>
      </c>
      <c r="E58" s="20">
        <v>1049081.6900000002</v>
      </c>
      <c r="F58" s="396">
        <v>0.46436844612019174</v>
      </c>
      <c r="G58" s="20">
        <v>1108380.36</v>
      </c>
      <c r="H58" s="20">
        <v>-59298.669999999925</v>
      </c>
      <c r="I58" s="396">
        <v>-0.053500289377195316</v>
      </c>
    </row>
    <row r="59" spans="1:9" ht="12.75">
      <c r="A59" s="395" t="s">
        <v>135</v>
      </c>
      <c r="B59" s="17" t="s">
        <v>136</v>
      </c>
      <c r="C59" s="18"/>
      <c r="D59" s="424">
        <v>475594</v>
      </c>
      <c r="E59" s="20">
        <v>185514.02000000002</v>
      </c>
      <c r="F59" s="396">
        <v>0.3900680412284428</v>
      </c>
      <c r="G59" s="20">
        <v>169380.62</v>
      </c>
      <c r="H59" s="20">
        <v>16133.400000000023</v>
      </c>
      <c r="I59" s="396">
        <v>0.09524938567352052</v>
      </c>
    </row>
    <row r="60" spans="1:9" ht="12.75">
      <c r="A60" s="395" t="s">
        <v>137</v>
      </c>
      <c r="B60" s="17" t="s">
        <v>138</v>
      </c>
      <c r="C60" s="18"/>
      <c r="D60" s="424">
        <v>10047145</v>
      </c>
      <c r="E60" s="20">
        <v>5473716.069999999</v>
      </c>
      <c r="F60" s="396">
        <v>0.54480313263121</v>
      </c>
      <c r="G60" s="20">
        <v>5200606.409999999</v>
      </c>
      <c r="H60" s="20">
        <v>273109.66000000015</v>
      </c>
      <c r="I60" s="396">
        <v>0.05251496430778737</v>
      </c>
    </row>
    <row r="61" spans="1:9" ht="12.75">
      <c r="A61" s="395" t="s">
        <v>139</v>
      </c>
      <c r="B61" s="17" t="s">
        <v>48</v>
      </c>
      <c r="C61" s="18"/>
      <c r="D61" s="424">
        <v>65319063</v>
      </c>
      <c r="E61" s="20">
        <v>34141463.080000006</v>
      </c>
      <c r="F61" s="396">
        <v>0.5226875817248022</v>
      </c>
      <c r="G61" s="20">
        <v>32573466.049999997</v>
      </c>
      <c r="H61" s="20">
        <v>1567997.0300000086</v>
      </c>
      <c r="I61" s="396">
        <v>0.04813724850751671</v>
      </c>
    </row>
    <row r="62" spans="1:9" ht="12.75">
      <c r="A62" s="395" t="s">
        <v>140</v>
      </c>
      <c r="B62" s="17" t="s">
        <v>58</v>
      </c>
      <c r="C62" s="18"/>
      <c r="D62" s="424">
        <v>10511800</v>
      </c>
      <c r="E62" s="20">
        <v>4709741.48</v>
      </c>
      <c r="F62" s="396">
        <v>0.44804329230008183</v>
      </c>
      <c r="G62" s="20">
        <v>4398825.18</v>
      </c>
      <c r="H62" s="20">
        <v>310916.30000000075</v>
      </c>
      <c r="I62" s="396">
        <v>0.0706816677811235</v>
      </c>
    </row>
    <row r="63" spans="1:9" ht="12.75">
      <c r="A63" s="397"/>
      <c r="B63" s="366" t="s">
        <v>141</v>
      </c>
      <c r="C63" s="367"/>
      <c r="D63" s="423">
        <v>31311961</v>
      </c>
      <c r="E63" s="21">
        <v>4861460.66</v>
      </c>
      <c r="F63" s="398">
        <v>0.15525890122308214</v>
      </c>
      <c r="G63" s="21">
        <v>8354083.84</v>
      </c>
      <c r="H63" s="21">
        <v>-3492623.18</v>
      </c>
      <c r="I63" s="398">
        <v>-0.418073752537298</v>
      </c>
    </row>
    <row r="64" spans="1:9" ht="12.75">
      <c r="A64" s="395" t="s">
        <v>128</v>
      </c>
      <c r="B64" s="17" t="s">
        <v>7</v>
      </c>
      <c r="C64" s="19"/>
      <c r="D64" s="424">
        <v>902503</v>
      </c>
      <c r="E64" s="20">
        <v>330706.33999999997</v>
      </c>
      <c r="F64" s="399" t="s">
        <v>89</v>
      </c>
      <c r="G64" s="20">
        <v>357266.66</v>
      </c>
      <c r="H64" s="20">
        <v>-26560.320000000007</v>
      </c>
      <c r="I64" s="399" t="s">
        <v>89</v>
      </c>
    </row>
    <row r="65" spans="1:9" ht="12.75">
      <c r="A65" s="395" t="s">
        <v>129</v>
      </c>
      <c r="B65" s="17" t="s">
        <v>130</v>
      </c>
      <c r="C65" s="18"/>
      <c r="D65" s="424">
        <v>0</v>
      </c>
      <c r="E65" s="20">
        <v>0</v>
      </c>
      <c r="F65" s="399" t="s">
        <v>89</v>
      </c>
      <c r="G65" s="20">
        <v>5500</v>
      </c>
      <c r="H65" s="20">
        <v>-5500</v>
      </c>
      <c r="I65" s="399" t="s">
        <v>89</v>
      </c>
    </row>
    <row r="66" spans="1:9" ht="12.75">
      <c r="A66" s="395" t="s">
        <v>131</v>
      </c>
      <c r="B66" s="17" t="s">
        <v>18</v>
      </c>
      <c r="C66" s="18"/>
      <c r="D66" s="424">
        <v>18117063</v>
      </c>
      <c r="E66" s="20">
        <v>1406579.19</v>
      </c>
      <c r="F66" s="396">
        <v>0.07763836721216899</v>
      </c>
      <c r="G66" s="20">
        <v>3298091.92</v>
      </c>
      <c r="H66" s="20">
        <v>-1891512.73</v>
      </c>
      <c r="I66" s="396">
        <v>-0.5735172869287403</v>
      </c>
    </row>
    <row r="67" spans="1:9" ht="12.75">
      <c r="A67" s="395" t="s">
        <v>132</v>
      </c>
      <c r="B67" s="17" t="s">
        <v>30</v>
      </c>
      <c r="C67" s="18"/>
      <c r="D67" s="424">
        <v>454866</v>
      </c>
      <c r="E67" s="20">
        <v>170950.72</v>
      </c>
      <c r="F67" s="396">
        <v>0.3758265511161529</v>
      </c>
      <c r="G67" s="20">
        <v>21244.8</v>
      </c>
      <c r="H67" s="20">
        <v>149705.92</v>
      </c>
      <c r="I67" s="396">
        <v>7.046708841693027</v>
      </c>
    </row>
    <row r="68" spans="1:9" ht="12.75">
      <c r="A68" s="395" t="s">
        <v>133</v>
      </c>
      <c r="B68" s="17" t="s">
        <v>134</v>
      </c>
      <c r="C68" s="18"/>
      <c r="D68" s="424">
        <v>844698</v>
      </c>
      <c r="E68" s="20">
        <v>173905.17</v>
      </c>
      <c r="F68" s="399" t="s">
        <v>89</v>
      </c>
      <c r="G68" s="20">
        <v>71616.24</v>
      </c>
      <c r="H68" s="20">
        <v>102288.93000000001</v>
      </c>
      <c r="I68" s="396">
        <v>1.4282923817279434</v>
      </c>
    </row>
    <row r="69" spans="1:9" ht="12.75">
      <c r="A69" s="395" t="s">
        <v>135</v>
      </c>
      <c r="B69" s="17" t="s">
        <v>136</v>
      </c>
      <c r="C69" s="18"/>
      <c r="D69" s="424">
        <v>10000</v>
      </c>
      <c r="E69" s="20">
        <v>0</v>
      </c>
      <c r="F69" s="399" t="s">
        <v>89</v>
      </c>
      <c r="G69" s="20">
        <v>0</v>
      </c>
      <c r="H69" s="20">
        <v>0</v>
      </c>
      <c r="I69" s="399" t="s">
        <v>89</v>
      </c>
    </row>
    <row r="70" spans="1:9" ht="12.75">
      <c r="A70" s="395" t="s">
        <v>137</v>
      </c>
      <c r="B70" s="17" t="s">
        <v>138</v>
      </c>
      <c r="C70" s="18"/>
      <c r="D70" s="424">
        <v>1997036</v>
      </c>
      <c r="E70" s="20">
        <v>1180510.63</v>
      </c>
      <c r="F70" s="396">
        <v>0.5911313716928488</v>
      </c>
      <c r="G70" s="20">
        <v>342007.57</v>
      </c>
      <c r="H70" s="20">
        <v>838503.0599999998</v>
      </c>
      <c r="I70" s="396">
        <v>2.4517090659718432</v>
      </c>
    </row>
    <row r="71" spans="1:9" ht="12.75">
      <c r="A71" s="395" t="s">
        <v>139</v>
      </c>
      <c r="B71" s="17" t="s">
        <v>48</v>
      </c>
      <c r="C71" s="18"/>
      <c r="D71" s="424">
        <v>8797175</v>
      </c>
      <c r="E71" s="20">
        <v>1551808.61</v>
      </c>
      <c r="F71" s="396">
        <v>0.176398515432511</v>
      </c>
      <c r="G71" s="20">
        <v>3769243.83</v>
      </c>
      <c r="H71" s="20">
        <v>-2217435.2199999997</v>
      </c>
      <c r="I71" s="396">
        <v>-0.588297101490513</v>
      </c>
    </row>
    <row r="72" spans="1:9" ht="12.75">
      <c r="A72" s="400" t="s">
        <v>140</v>
      </c>
      <c r="B72" s="401" t="s">
        <v>58</v>
      </c>
      <c r="C72" s="402"/>
      <c r="D72" s="425">
        <v>188620</v>
      </c>
      <c r="E72" s="403">
        <v>47000</v>
      </c>
      <c r="F72" s="404">
        <v>0.24917824196797794</v>
      </c>
      <c r="G72" s="403">
        <v>489112.82</v>
      </c>
      <c r="H72" s="403">
        <v>-442112.82</v>
      </c>
      <c r="I72" s="404">
        <v>-0.9039076505907164</v>
      </c>
    </row>
    <row r="73" ht="12.75">
      <c r="F73" s="312"/>
    </row>
    <row r="74" spans="4:9" ht="12.75">
      <c r="D74" s="239"/>
      <c r="E74" s="239"/>
      <c r="F74" s="240"/>
      <c r="G74" s="239"/>
      <c r="H74" s="239"/>
      <c r="I74" s="240"/>
    </row>
  </sheetData>
  <sheetProtection/>
  <mergeCells count="7">
    <mergeCell ref="B63:C63"/>
    <mergeCell ref="A2:F2"/>
    <mergeCell ref="D3:D4"/>
    <mergeCell ref="E3:E4"/>
    <mergeCell ref="F3:F4"/>
    <mergeCell ref="H3:I3"/>
    <mergeCell ref="B53:C5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4"/>
  <sheetViews>
    <sheetView showGridLines="0" showZeros="0" workbookViewId="0" topLeftCell="A1">
      <selection activeCell="N25" sqref="N25"/>
    </sheetView>
  </sheetViews>
  <sheetFormatPr defaultColWidth="9.140625" defaultRowHeight="15"/>
  <cols>
    <col min="1" max="2" width="0.85546875" style="23" customWidth="1"/>
    <col min="3" max="3" width="5.421875" style="23" customWidth="1"/>
    <col min="4" max="4" width="38.28125" style="212" customWidth="1"/>
    <col min="5" max="5" width="6.28125" style="213" customWidth="1"/>
    <col min="6" max="6" width="12.7109375" style="213" hidden="1" customWidth="1"/>
    <col min="7" max="7" width="11.28125" style="214" customWidth="1"/>
    <col min="8" max="8" width="10.28125" style="214" customWidth="1"/>
    <col min="9" max="9" width="9.8515625" style="214" hidden="1" customWidth="1"/>
    <col min="10" max="10" width="6.57421875" style="211" customWidth="1"/>
    <col min="11" max="11" width="0.13671875" style="23" hidden="1" customWidth="1"/>
    <col min="12" max="12" width="10.140625" style="25" bestFit="1" customWidth="1"/>
    <col min="13" max="13" width="10.140625" style="26" bestFit="1" customWidth="1"/>
    <col min="14" max="14" width="12.7109375" style="26" customWidth="1"/>
    <col min="15" max="15" width="10.140625" style="26" customWidth="1"/>
    <col min="16" max="16" width="11.7109375" style="26" customWidth="1"/>
    <col min="17" max="16384" width="9.140625" style="26" customWidth="1"/>
  </cols>
  <sheetData>
    <row r="1" spans="4:10" ht="15">
      <c r="D1" s="370" t="s">
        <v>146</v>
      </c>
      <c r="E1" s="370"/>
      <c r="F1" s="370"/>
      <c r="G1" s="370"/>
      <c r="H1" s="370"/>
      <c r="I1" s="370"/>
      <c r="J1" s="370"/>
    </row>
    <row r="2" spans="4:10" ht="15">
      <c r="D2" s="24"/>
      <c r="E2" s="24"/>
      <c r="F2" s="24"/>
      <c r="G2" s="24"/>
      <c r="H2" s="24"/>
      <c r="I2" s="24" t="s">
        <v>69</v>
      </c>
      <c r="J2" s="27"/>
    </row>
    <row r="3" spans="4:10" ht="15">
      <c r="D3" s="24" t="s">
        <v>358</v>
      </c>
      <c r="E3" s="24"/>
      <c r="F3" s="24"/>
      <c r="G3" s="24"/>
      <c r="H3" s="24"/>
      <c r="I3" s="24"/>
      <c r="J3" s="27"/>
    </row>
    <row r="4" spans="4:10" ht="15">
      <c r="D4" s="28"/>
      <c r="E4" s="29"/>
      <c r="F4" s="29" t="s">
        <v>147</v>
      </c>
      <c r="G4" s="30" t="s">
        <v>311</v>
      </c>
      <c r="H4" s="30" t="s">
        <v>148</v>
      </c>
      <c r="I4" s="30" t="s">
        <v>359</v>
      </c>
      <c r="J4" s="31" t="s">
        <v>64</v>
      </c>
    </row>
    <row r="5" spans="1:16" s="40" customFormat="1" ht="27" customHeight="1">
      <c r="A5" s="241"/>
      <c r="B5" s="32"/>
      <c r="C5" s="33"/>
      <c r="D5" s="34" t="s">
        <v>149</v>
      </c>
      <c r="E5" s="35"/>
      <c r="F5" s="36">
        <f>SUM(F6,F8,F9)</f>
        <v>28480919</v>
      </c>
      <c r="G5" s="37">
        <f>SUM(G6,G8,G9)</f>
        <v>31321940</v>
      </c>
      <c r="H5" s="37">
        <f>SUM(H6,H8,H9)</f>
        <v>4858196.66</v>
      </c>
      <c r="I5" s="37">
        <f>SUM(I6,I8,I9)</f>
        <v>1209621.22</v>
      </c>
      <c r="J5" s="313">
        <f>ROUND(H5/G5*100,1)</f>
        <v>15.5</v>
      </c>
      <c r="K5" s="38"/>
      <c r="L5" s="39"/>
      <c r="M5" s="223"/>
      <c r="N5" s="223"/>
      <c r="O5" s="223"/>
      <c r="P5" s="223"/>
    </row>
    <row r="6" spans="1:11" ht="16.5" customHeight="1">
      <c r="A6" s="242"/>
      <c r="D6" s="41" t="s">
        <v>0</v>
      </c>
      <c r="E6" s="42" t="s">
        <v>1</v>
      </c>
      <c r="F6" s="43">
        <f>SUMIF($E10:$E365,$E6,F10:F365)</f>
        <v>26826802</v>
      </c>
      <c r="G6" s="43">
        <f>SUMIF($E11:$E365,$E6,G11:G365)</f>
        <v>29665205</v>
      </c>
      <c r="H6" s="43">
        <f>SUMIF($E11:$E272,$E6,H11:H272)</f>
        <v>3956632.8200000003</v>
      </c>
      <c r="I6" s="43">
        <f>SUMIF($E11:$E272,$E6,I11:I272)</f>
        <v>1076649.67</v>
      </c>
      <c r="J6" s="314">
        <f>ROUND(H6/G6*100,1)</f>
        <v>13.3</v>
      </c>
      <c r="K6" s="44"/>
    </row>
    <row r="7" spans="1:13" ht="16.5" customHeight="1">
      <c r="A7" s="242"/>
      <c r="D7" s="41" t="s">
        <v>150</v>
      </c>
      <c r="E7" s="42" t="s">
        <v>1</v>
      </c>
      <c r="F7" s="45">
        <f>SUM(F29,F31,F34,F64,F66,F68,F109,F205,F207,F247,F119,F259)</f>
        <v>11881418</v>
      </c>
      <c r="G7" s="45">
        <f>SUM(G29,G31,G34,G64,G66,G68,G109,G119,G192,G205,G207,G215,G233,G234,G244,G251,G259,G267,G101)</f>
        <v>13210253</v>
      </c>
      <c r="H7" s="45">
        <f>SUM(H29,H31,H34,H64,H66,H68,H109,H119,H192,H205,H207,H215,H233,H234,H244,H251,H259,H267,H101)</f>
        <v>135291.66</v>
      </c>
      <c r="I7" s="45">
        <f>SUM(I29,I31,I34,I64,I66,I68,I109,I119,I192,I205,I207,I215,I233,I234,I244,I251,I259,I267,I101)</f>
        <v>61832</v>
      </c>
      <c r="J7" s="315">
        <f>ROUND(H7/G7*100,1)</f>
        <v>1</v>
      </c>
      <c r="K7" s="44"/>
      <c r="M7" s="224"/>
    </row>
    <row r="8" spans="1:17" ht="30">
      <c r="A8" s="242"/>
      <c r="D8" s="46" t="s">
        <v>2</v>
      </c>
      <c r="E8" s="47" t="s">
        <v>3</v>
      </c>
      <c r="F8" s="43">
        <f>SUMIF($E12:$E367,$E8,F12:F367)</f>
        <v>900295</v>
      </c>
      <c r="G8" s="43">
        <f>SUMIF($E13:$E367,$E8,G13:G367)</f>
        <v>1001720</v>
      </c>
      <c r="H8" s="43">
        <f>SUMIF($E13:$E367,$E8,H13:H367)</f>
        <v>625612</v>
      </c>
      <c r="I8" s="43">
        <f>SUMIF($E13:$E367,$E8,I13:I367)</f>
        <v>123552</v>
      </c>
      <c r="J8" s="316">
        <f>ROUND(H8/G8*100,1)</f>
        <v>62.5</v>
      </c>
      <c r="K8" s="44"/>
      <c r="N8" s="224"/>
      <c r="O8" s="224"/>
      <c r="P8" s="224"/>
      <c r="Q8" s="224"/>
    </row>
    <row r="9" spans="1:12" s="40" customFormat="1" ht="16.5" customHeight="1">
      <c r="A9" s="243"/>
      <c r="B9" s="48"/>
      <c r="C9" s="48"/>
      <c r="D9" s="49" t="s">
        <v>4</v>
      </c>
      <c r="E9" s="50" t="s">
        <v>5</v>
      </c>
      <c r="F9" s="51">
        <f>SUMIF($E11:$E253,$E9,F11:F253)</f>
        <v>753822</v>
      </c>
      <c r="G9" s="51">
        <f>SUMIF($E11:$E272,$E9,G11:G272)</f>
        <v>655015</v>
      </c>
      <c r="H9" s="51">
        <f>SUMIF($E11:$E272,$E9,H11:H272)</f>
        <v>275951.83999999997</v>
      </c>
      <c r="I9" s="51">
        <f>SUMIF($E11:$E272,$E9,I11:I272)</f>
        <v>9419.550000000001</v>
      </c>
      <c r="J9" s="317">
        <f>ROUND(H9/G9*100,1)</f>
        <v>42.1</v>
      </c>
      <c r="K9" s="52"/>
      <c r="L9" s="39"/>
    </row>
    <row r="10" spans="1:16" s="55" customFormat="1" ht="20.25" customHeight="1">
      <c r="A10" s="53"/>
      <c r="B10" s="53"/>
      <c r="C10" s="53"/>
      <c r="D10" s="371" t="s">
        <v>6</v>
      </c>
      <c r="E10" s="371"/>
      <c r="F10" s="371"/>
      <c r="G10" s="371"/>
      <c r="H10" s="371"/>
      <c r="I10" s="371"/>
      <c r="J10" s="371"/>
      <c r="K10" s="53"/>
      <c r="L10" s="54"/>
      <c r="N10" s="318"/>
      <c r="O10" s="318"/>
      <c r="P10" s="318"/>
    </row>
    <row r="11" spans="1:17" s="40" customFormat="1" ht="24" customHeight="1">
      <c r="A11" s="244"/>
      <c r="B11" s="33"/>
      <c r="C11" s="33"/>
      <c r="D11" s="56" t="s">
        <v>151</v>
      </c>
      <c r="E11" s="57"/>
      <c r="F11" s="58">
        <f>SUM(F12,F17)</f>
        <v>945522</v>
      </c>
      <c r="G11" s="58">
        <f>SUM(G12,G17)</f>
        <v>902503</v>
      </c>
      <c r="H11" s="58">
        <f>SUM(H12,H17)</f>
        <v>330706.33999999997</v>
      </c>
      <c r="I11" s="58">
        <f>SUM(I12,I17)</f>
        <v>18203.550000000003</v>
      </c>
      <c r="J11" s="313">
        <f aca="true" t="shared" si="0" ref="J11:J35">ROUND(H11/G11*100,1)</f>
        <v>36.6</v>
      </c>
      <c r="K11" s="59"/>
      <c r="L11" s="39"/>
      <c r="M11" s="223"/>
      <c r="N11" s="223"/>
      <c r="O11" s="223"/>
      <c r="P11" s="223"/>
      <c r="Q11" s="223"/>
    </row>
    <row r="12" spans="1:15" ht="17.25" customHeight="1">
      <c r="A12" s="242"/>
      <c r="D12" s="60" t="s">
        <v>152</v>
      </c>
      <c r="E12" s="61"/>
      <c r="F12" s="62">
        <f>SUM(F13:F16)</f>
        <v>753822</v>
      </c>
      <c r="G12" s="62">
        <f>SUM(G13:G16)</f>
        <v>655015</v>
      </c>
      <c r="H12" s="62">
        <f>SUM(H13:H16)</f>
        <v>275951.83999999997</v>
      </c>
      <c r="I12" s="62">
        <f>SUM(I13:I16)</f>
        <v>9419.550000000001</v>
      </c>
      <c r="J12" s="319">
        <f t="shared" si="0"/>
        <v>42.1</v>
      </c>
      <c r="K12" s="44"/>
      <c r="M12" s="224"/>
      <c r="N12" s="224"/>
      <c r="O12" s="224"/>
    </row>
    <row r="13" spans="1:11" ht="16.5" customHeight="1">
      <c r="A13" s="242"/>
      <c r="B13" s="63"/>
      <c r="C13" s="63" t="s">
        <v>8</v>
      </c>
      <c r="D13" s="64" t="s">
        <v>9</v>
      </c>
      <c r="E13" s="65" t="s">
        <v>5</v>
      </c>
      <c r="F13" s="43">
        <v>640000</v>
      </c>
      <c r="G13" s="43">
        <f>640000-80000</f>
        <v>560000</v>
      </c>
      <c r="H13" s="259">
        <v>219774.4</v>
      </c>
      <c r="I13" s="259"/>
      <c r="J13" s="314">
        <f t="shared" si="0"/>
        <v>39.2</v>
      </c>
      <c r="K13" s="44"/>
    </row>
    <row r="14" spans="1:17" ht="45">
      <c r="A14" s="242"/>
      <c r="B14" s="63"/>
      <c r="C14" s="63" t="s">
        <v>10</v>
      </c>
      <c r="D14" s="46" t="s">
        <v>11</v>
      </c>
      <c r="E14" s="47" t="s">
        <v>5</v>
      </c>
      <c r="F14" s="66">
        <v>111922</v>
      </c>
      <c r="G14" s="66">
        <f>111922-18807</f>
        <v>93115</v>
      </c>
      <c r="H14" s="260">
        <v>55613.4</v>
      </c>
      <c r="I14" s="260">
        <v>9336.5</v>
      </c>
      <c r="J14" s="316">
        <f t="shared" si="0"/>
        <v>59.7</v>
      </c>
      <c r="K14" s="44"/>
      <c r="M14" s="224"/>
      <c r="N14" s="224"/>
      <c r="O14" s="224"/>
      <c r="P14" s="224"/>
      <c r="Q14" s="224"/>
    </row>
    <row r="15" spans="1:11" ht="30">
      <c r="A15" s="242"/>
      <c r="B15" s="63"/>
      <c r="C15" s="63" t="s">
        <v>12</v>
      </c>
      <c r="D15" s="46" t="s">
        <v>13</v>
      </c>
      <c r="E15" s="47" t="s">
        <v>5</v>
      </c>
      <c r="F15" s="66">
        <v>1014</v>
      </c>
      <c r="G15" s="66">
        <v>1014</v>
      </c>
      <c r="H15" s="260">
        <v>302.44</v>
      </c>
      <c r="I15" s="260">
        <v>47.95</v>
      </c>
      <c r="J15" s="315">
        <f t="shared" si="0"/>
        <v>29.8</v>
      </c>
      <c r="K15" s="44"/>
    </row>
    <row r="16" spans="1:17" ht="30">
      <c r="A16" s="242"/>
      <c r="B16" s="63"/>
      <c r="C16" s="63" t="s">
        <v>10</v>
      </c>
      <c r="D16" s="46" t="s">
        <v>14</v>
      </c>
      <c r="E16" s="47" t="s">
        <v>5</v>
      </c>
      <c r="F16" s="66">
        <v>886</v>
      </c>
      <c r="G16" s="66">
        <v>886</v>
      </c>
      <c r="H16" s="260">
        <v>261.6</v>
      </c>
      <c r="I16" s="260">
        <v>35.1</v>
      </c>
      <c r="J16" s="315">
        <f t="shared" si="0"/>
        <v>29.5</v>
      </c>
      <c r="K16" s="44"/>
      <c r="M16" s="224"/>
      <c r="N16" s="224"/>
      <c r="O16" s="224"/>
      <c r="P16" s="224"/>
      <c r="Q16" s="320"/>
    </row>
    <row r="17" spans="1:13" ht="17.25" customHeight="1">
      <c r="A17" s="242"/>
      <c r="B17" s="63"/>
      <c r="C17" s="63"/>
      <c r="D17" s="67" t="s">
        <v>15</v>
      </c>
      <c r="E17" s="68"/>
      <c r="F17" s="69">
        <f>SUM(F18:F21)</f>
        <v>191700</v>
      </c>
      <c r="G17" s="69">
        <f>SUM(G18:G21)</f>
        <v>247488</v>
      </c>
      <c r="H17" s="69">
        <f>SUM(H18:H21)</f>
        <v>54754.5</v>
      </c>
      <c r="I17" s="69">
        <f>SUM(I18:I21)</f>
        <v>8784</v>
      </c>
      <c r="J17" s="321">
        <f t="shared" si="0"/>
        <v>22.1</v>
      </c>
      <c r="K17" s="44"/>
      <c r="M17" s="224"/>
    </row>
    <row r="18" spans="1:11" ht="16.5" customHeight="1">
      <c r="A18" s="242" t="s">
        <v>16</v>
      </c>
      <c r="B18" s="63"/>
      <c r="C18" s="245"/>
      <c r="D18" s="64" t="s">
        <v>153</v>
      </c>
      <c r="E18" s="65" t="s">
        <v>1</v>
      </c>
      <c r="F18" s="43">
        <v>140000</v>
      </c>
      <c r="G18" s="43">
        <v>140000</v>
      </c>
      <c r="H18" s="259">
        <v>17988</v>
      </c>
      <c r="I18" s="259"/>
      <c r="J18" s="314">
        <f t="shared" si="0"/>
        <v>12.8</v>
      </c>
      <c r="K18" s="44"/>
    </row>
    <row r="19" spans="1:17" ht="34.5" customHeight="1">
      <c r="A19" s="242" t="s">
        <v>16</v>
      </c>
      <c r="B19" s="63"/>
      <c r="C19" s="322"/>
      <c r="D19" s="64" t="s">
        <v>320</v>
      </c>
      <c r="E19" s="65" t="s">
        <v>1</v>
      </c>
      <c r="F19" s="43"/>
      <c r="G19" s="43">
        <v>10788</v>
      </c>
      <c r="H19" s="259">
        <v>531</v>
      </c>
      <c r="I19" s="259"/>
      <c r="J19" s="316">
        <f t="shared" si="0"/>
        <v>4.9</v>
      </c>
      <c r="K19" s="44"/>
      <c r="N19" s="224"/>
      <c r="O19" s="224"/>
      <c r="P19" s="224"/>
      <c r="Q19" s="224"/>
    </row>
    <row r="20" spans="1:11" ht="16.5" customHeight="1">
      <c r="A20" s="242"/>
      <c r="B20" s="63"/>
      <c r="C20" s="72" t="s">
        <v>16</v>
      </c>
      <c r="D20" s="177" t="s">
        <v>312</v>
      </c>
      <c r="E20" s="65" t="s">
        <v>1</v>
      </c>
      <c r="F20" s="178"/>
      <c r="G20" s="178">
        <v>45000</v>
      </c>
      <c r="H20" s="261">
        <v>14331.2</v>
      </c>
      <c r="I20" s="261"/>
      <c r="J20" s="323">
        <f t="shared" si="0"/>
        <v>31.8</v>
      </c>
      <c r="K20" s="44"/>
    </row>
    <row r="21" spans="1:16" s="40" customFormat="1" ht="16.5" customHeight="1">
      <c r="A21" s="243"/>
      <c r="B21" s="48" t="s">
        <v>17</v>
      </c>
      <c r="C21" s="48"/>
      <c r="D21" s="49" t="s">
        <v>154</v>
      </c>
      <c r="E21" s="50" t="s">
        <v>1</v>
      </c>
      <c r="F21" s="51">
        <v>51700</v>
      </c>
      <c r="G21" s="51">
        <v>51700</v>
      </c>
      <c r="H21" s="262">
        <v>21904.3</v>
      </c>
      <c r="I21" s="262">
        <v>8784</v>
      </c>
      <c r="J21" s="324">
        <f t="shared" si="0"/>
        <v>42.4</v>
      </c>
      <c r="K21" s="52"/>
      <c r="L21" s="39"/>
      <c r="M21" s="223"/>
      <c r="N21" s="223"/>
      <c r="O21" s="223"/>
      <c r="P21" s="223"/>
    </row>
    <row r="22" spans="1:17" s="40" customFormat="1" ht="22.5" customHeight="1">
      <c r="A22" s="244"/>
      <c r="B22" s="33"/>
      <c r="C22" s="33"/>
      <c r="D22" s="70" t="s">
        <v>155</v>
      </c>
      <c r="E22" s="71"/>
      <c r="F22" s="58">
        <f>SUM(F24,F26,F85,F92,F95)</f>
        <v>16697671</v>
      </c>
      <c r="G22" s="58">
        <f>SUM(G23,G26,G92,G95,G88)</f>
        <v>18117063</v>
      </c>
      <c r="H22" s="58">
        <f>SUM(H23,H26,H92,H95,H88)</f>
        <v>1406579.19</v>
      </c>
      <c r="I22" s="58">
        <f>SUM(I23,I26,I92,I95,I88)</f>
        <v>382336.64999999997</v>
      </c>
      <c r="J22" s="319">
        <f t="shared" si="0"/>
        <v>7.8</v>
      </c>
      <c r="K22" s="59"/>
      <c r="L22" s="39"/>
      <c r="M22" s="223"/>
      <c r="N22" s="223"/>
      <c r="O22" s="223"/>
      <c r="P22" s="223"/>
      <c r="Q22" s="223"/>
    </row>
    <row r="23" spans="1:17" s="40" customFormat="1" ht="22.5" customHeight="1">
      <c r="A23" s="241"/>
      <c r="B23" s="32"/>
      <c r="C23" s="32"/>
      <c r="D23" s="263" t="s">
        <v>321</v>
      </c>
      <c r="E23" s="264"/>
      <c r="F23" s="265"/>
      <c r="G23" s="265">
        <f>SUM(G24,G25)</f>
        <v>220485</v>
      </c>
      <c r="H23" s="265">
        <f>SUM(H24,H25)</f>
        <v>220485</v>
      </c>
      <c r="I23" s="265">
        <f>SUM(I24,I25)</f>
        <v>0</v>
      </c>
      <c r="J23" s="319">
        <f t="shared" si="0"/>
        <v>100</v>
      </c>
      <c r="K23" s="265">
        <f>SUM(K24,K25)</f>
        <v>0</v>
      </c>
      <c r="L23" s="39"/>
      <c r="M23" s="223"/>
      <c r="N23" s="223"/>
      <c r="O23" s="223"/>
      <c r="P23" s="223"/>
      <c r="Q23" s="223"/>
    </row>
    <row r="24" spans="1:16" s="23" customFormat="1" ht="28.5" customHeight="1">
      <c r="A24" s="242"/>
      <c r="B24" s="63"/>
      <c r="C24" s="72" t="s">
        <v>156</v>
      </c>
      <c r="D24" s="73" t="s">
        <v>322</v>
      </c>
      <c r="E24" s="88" t="s">
        <v>1</v>
      </c>
      <c r="F24" s="62">
        <v>50000</v>
      </c>
      <c r="G24" s="178">
        <v>50000</v>
      </c>
      <c r="H24" s="266">
        <v>50000</v>
      </c>
      <c r="I24" s="266"/>
      <c r="J24" s="325">
        <f t="shared" si="0"/>
        <v>100</v>
      </c>
      <c r="K24" s="44"/>
      <c r="L24" s="75"/>
      <c r="M24" s="246"/>
      <c r="N24" s="246"/>
      <c r="O24" s="246"/>
      <c r="P24" s="246"/>
    </row>
    <row r="25" spans="1:16" s="23" customFormat="1" ht="28.5" customHeight="1">
      <c r="A25" s="242"/>
      <c r="B25" s="63"/>
      <c r="C25" s="72" t="s">
        <v>156</v>
      </c>
      <c r="D25" s="73" t="s">
        <v>323</v>
      </c>
      <c r="E25" s="88" t="s">
        <v>1</v>
      </c>
      <c r="F25" s="62"/>
      <c r="G25" s="178">
        <v>170485</v>
      </c>
      <c r="H25" s="266">
        <v>170485</v>
      </c>
      <c r="I25" s="266"/>
      <c r="J25" s="323">
        <f t="shared" si="0"/>
        <v>100</v>
      </c>
      <c r="K25" s="44"/>
      <c r="L25" s="75"/>
      <c r="M25" s="246"/>
      <c r="N25" s="246"/>
      <c r="O25" s="246"/>
      <c r="P25" s="246"/>
    </row>
    <row r="26" spans="1:15" s="23" customFormat="1" ht="17.25" customHeight="1">
      <c r="A26" s="242"/>
      <c r="D26" s="267" t="s">
        <v>324</v>
      </c>
      <c r="E26" s="88"/>
      <c r="F26" s="77">
        <f>SUM(F27,F50:F62,F82,F83,)</f>
        <v>16137671</v>
      </c>
      <c r="G26" s="268">
        <f>SUM(G27,G50:G51,G62,G82,G83,G85,G84,G81)</f>
        <v>16453046</v>
      </c>
      <c r="H26" s="268">
        <f>SUM(H27,H50:H51,H62,H82,H83,H85,H84,H81)</f>
        <v>988437.8799999999</v>
      </c>
      <c r="I26" s="268">
        <f>SUM(I27,I50:I51,I62,I82,I83,I85,I84,I81)</f>
        <v>277383.72</v>
      </c>
      <c r="J26" s="319">
        <f t="shared" si="0"/>
        <v>6</v>
      </c>
      <c r="K26" s="44"/>
      <c r="L26" s="269"/>
      <c r="M26" s="269"/>
      <c r="N26" s="269"/>
      <c r="O26" s="269"/>
    </row>
    <row r="27" spans="1:17" ht="17.25" customHeight="1">
      <c r="A27" s="242"/>
      <c r="D27" s="78" t="s">
        <v>20</v>
      </c>
      <c r="E27" s="74"/>
      <c r="F27" s="79">
        <f>SUM(F28:F49)</f>
        <v>10715000</v>
      </c>
      <c r="G27" s="79">
        <f>SUM(G28:G46,G48:G49)</f>
        <v>10680800</v>
      </c>
      <c r="H27" s="79">
        <f>SUM(H28:H46,H48,H49)</f>
        <v>646126.58</v>
      </c>
      <c r="I27" s="79">
        <f>SUM(I28:I46,I48,I49)</f>
        <v>118725.83</v>
      </c>
      <c r="J27" s="326">
        <f t="shared" si="0"/>
        <v>6</v>
      </c>
      <c r="K27" s="44"/>
      <c r="M27" s="224"/>
      <c r="N27" s="224"/>
      <c r="O27" s="224"/>
      <c r="P27" s="224"/>
      <c r="Q27" s="327"/>
    </row>
    <row r="28" spans="1:15" ht="30">
      <c r="A28" s="242"/>
      <c r="C28" s="23" t="s">
        <v>19</v>
      </c>
      <c r="D28" s="80" t="s">
        <v>157</v>
      </c>
      <c r="E28" s="81" t="s">
        <v>1</v>
      </c>
      <c r="F28" s="66">
        <v>400000</v>
      </c>
      <c r="G28" s="66">
        <v>400000</v>
      </c>
      <c r="H28" s="260">
        <v>22099.2</v>
      </c>
      <c r="I28" s="260"/>
      <c r="J28" s="328">
        <f t="shared" si="0"/>
        <v>5.5</v>
      </c>
      <c r="K28" s="44"/>
      <c r="L28" s="270"/>
      <c r="M28" s="270"/>
      <c r="N28" s="270"/>
      <c r="O28" s="270"/>
    </row>
    <row r="29" spans="1:17" ht="30">
      <c r="A29" s="242"/>
      <c r="C29" s="23" t="s">
        <v>19</v>
      </c>
      <c r="D29" s="82" t="s">
        <v>157</v>
      </c>
      <c r="E29" s="83" t="s">
        <v>1</v>
      </c>
      <c r="F29" s="84">
        <v>3400000</v>
      </c>
      <c r="G29" s="84">
        <v>3400000</v>
      </c>
      <c r="H29" s="271"/>
      <c r="I29" s="271"/>
      <c r="J29" s="329">
        <f t="shared" si="0"/>
        <v>0</v>
      </c>
      <c r="K29" s="44"/>
      <c r="M29" s="224"/>
      <c r="N29" s="224"/>
      <c r="O29" s="224"/>
      <c r="P29" s="224"/>
      <c r="Q29" s="224"/>
    </row>
    <row r="30" spans="1:15" ht="15">
      <c r="A30" s="242"/>
      <c r="C30" s="23" t="s">
        <v>19</v>
      </c>
      <c r="D30" s="80" t="s">
        <v>158</v>
      </c>
      <c r="E30" s="81" t="s">
        <v>1</v>
      </c>
      <c r="F30" s="66">
        <v>420000</v>
      </c>
      <c r="G30" s="66">
        <f>420000-111000</f>
        <v>309000</v>
      </c>
      <c r="H30" s="260">
        <v>6000</v>
      </c>
      <c r="I30" s="260">
        <v>6000</v>
      </c>
      <c r="J30" s="330">
        <f t="shared" si="0"/>
        <v>1.9</v>
      </c>
      <c r="K30" s="44"/>
      <c r="L30" s="270"/>
      <c r="M30" s="270"/>
      <c r="N30" s="270"/>
      <c r="O30" s="270"/>
    </row>
    <row r="31" spans="1:11" ht="15">
      <c r="A31" s="242"/>
      <c r="C31" s="23" t="s">
        <v>19</v>
      </c>
      <c r="D31" s="82" t="s">
        <v>158</v>
      </c>
      <c r="E31" s="83" t="s">
        <v>1</v>
      </c>
      <c r="F31" s="84">
        <v>2800000</v>
      </c>
      <c r="G31" s="84">
        <v>2800000</v>
      </c>
      <c r="H31" s="271"/>
      <c r="I31" s="271"/>
      <c r="J31" s="329">
        <f t="shared" si="0"/>
        <v>0</v>
      </c>
      <c r="K31" s="44"/>
    </row>
    <row r="32" spans="1:15" ht="15">
      <c r="A32" s="242"/>
      <c r="C32" s="23" t="s">
        <v>19</v>
      </c>
      <c r="D32" s="80" t="s">
        <v>159</v>
      </c>
      <c r="E32" s="81" t="s">
        <v>1</v>
      </c>
      <c r="F32" s="66">
        <v>1030000</v>
      </c>
      <c r="G32" s="66">
        <v>1030000</v>
      </c>
      <c r="H32" s="260">
        <v>346029.55</v>
      </c>
      <c r="I32" s="260">
        <v>99777.83</v>
      </c>
      <c r="J32" s="315">
        <f t="shared" si="0"/>
        <v>33.6</v>
      </c>
      <c r="K32" s="44"/>
      <c r="L32" s="270"/>
      <c r="M32" s="270"/>
      <c r="N32" s="270"/>
      <c r="O32" s="270"/>
    </row>
    <row r="33" spans="1:17" ht="15">
      <c r="A33" s="242"/>
      <c r="C33" s="23" t="s">
        <v>19</v>
      </c>
      <c r="D33" s="80" t="s">
        <v>160</v>
      </c>
      <c r="E33" s="81" t="s">
        <v>1</v>
      </c>
      <c r="F33" s="66">
        <v>500000</v>
      </c>
      <c r="G33" s="66">
        <f>500000-2000</f>
        <v>498000</v>
      </c>
      <c r="H33" s="260">
        <v>11880</v>
      </c>
      <c r="I33" s="260"/>
      <c r="J33" s="315">
        <f t="shared" si="0"/>
        <v>2.4</v>
      </c>
      <c r="K33" s="44"/>
      <c r="M33" s="224"/>
      <c r="N33" s="224"/>
      <c r="O33" s="224"/>
      <c r="P33" s="224"/>
      <c r="Q33" s="224"/>
    </row>
    <row r="34" spans="1:11" ht="15">
      <c r="A34" s="242"/>
      <c r="C34" s="23" t="s">
        <v>19</v>
      </c>
      <c r="D34" s="82" t="s">
        <v>160</v>
      </c>
      <c r="E34" s="83" t="s">
        <v>1</v>
      </c>
      <c r="F34" s="84">
        <v>500000</v>
      </c>
      <c r="G34" s="84">
        <v>500000</v>
      </c>
      <c r="H34" s="271"/>
      <c r="I34" s="271"/>
      <c r="J34" s="331">
        <f t="shared" si="0"/>
        <v>0</v>
      </c>
      <c r="K34" s="44"/>
    </row>
    <row r="35" spans="1:15" ht="15">
      <c r="A35" s="242"/>
      <c r="C35" s="23" t="s">
        <v>19</v>
      </c>
      <c r="D35" s="80" t="s">
        <v>313</v>
      </c>
      <c r="E35" s="81" t="s">
        <v>1</v>
      </c>
      <c r="F35" s="66"/>
      <c r="G35" s="66">
        <v>2000</v>
      </c>
      <c r="H35" s="260">
        <v>2000</v>
      </c>
      <c r="I35" s="260"/>
      <c r="J35" s="315">
        <f t="shared" si="0"/>
        <v>100</v>
      </c>
      <c r="K35" s="44"/>
      <c r="M35" s="224"/>
      <c r="N35" s="224"/>
      <c r="O35" s="224"/>
    </row>
    <row r="36" spans="1:11" ht="30">
      <c r="A36" s="242"/>
      <c r="C36" s="23" t="s">
        <v>19</v>
      </c>
      <c r="D36" s="80" t="s">
        <v>325</v>
      </c>
      <c r="E36" s="81" t="s">
        <v>1</v>
      </c>
      <c r="F36" s="66"/>
      <c r="G36" s="66">
        <v>355000</v>
      </c>
      <c r="H36" s="260"/>
      <c r="I36" s="260"/>
      <c r="J36" s="330"/>
      <c r="K36" s="44"/>
    </row>
    <row r="37" spans="1:17" s="25" customFormat="1" ht="30">
      <c r="A37" s="242"/>
      <c r="B37" s="23"/>
      <c r="C37" s="23" t="s">
        <v>19</v>
      </c>
      <c r="D37" s="80" t="s">
        <v>161</v>
      </c>
      <c r="E37" s="81" t="s">
        <v>1</v>
      </c>
      <c r="F37" s="66">
        <v>450000</v>
      </c>
      <c r="G37" s="66">
        <f>450000-430000</f>
        <v>20000</v>
      </c>
      <c r="H37" s="260"/>
      <c r="I37" s="260"/>
      <c r="J37" s="330">
        <f aca="true" t="shared" si="1" ref="J37:J46">ROUND(H37/G37*100,1)</f>
        <v>0</v>
      </c>
      <c r="K37" s="44"/>
      <c r="M37" s="26"/>
      <c r="N37" s="26"/>
      <c r="O37" s="26"/>
      <c r="P37" s="26"/>
      <c r="Q37" s="26"/>
    </row>
    <row r="38" spans="1:17" s="25" customFormat="1" ht="30">
      <c r="A38" s="242"/>
      <c r="B38" s="23"/>
      <c r="C38" s="23" t="s">
        <v>19</v>
      </c>
      <c r="D38" s="80" t="s">
        <v>162</v>
      </c>
      <c r="E38" s="81" t="s">
        <v>1</v>
      </c>
      <c r="F38" s="66">
        <v>250000</v>
      </c>
      <c r="G38" s="66">
        <f>250000+50000</f>
        <v>300000</v>
      </c>
      <c r="H38" s="260">
        <v>4254</v>
      </c>
      <c r="I38" s="260"/>
      <c r="J38" s="315">
        <f t="shared" si="1"/>
        <v>1.4</v>
      </c>
      <c r="K38" s="44"/>
      <c r="M38" s="26"/>
      <c r="N38" s="26"/>
      <c r="O38" s="26"/>
      <c r="P38" s="26"/>
      <c r="Q38" s="26"/>
    </row>
    <row r="39" spans="1:17" s="25" customFormat="1" ht="15">
      <c r="A39" s="242"/>
      <c r="B39" s="23"/>
      <c r="C39" s="23" t="s">
        <v>19</v>
      </c>
      <c r="D39" s="80" t="s">
        <v>163</v>
      </c>
      <c r="E39" s="81" t="s">
        <v>1</v>
      </c>
      <c r="F39" s="66">
        <v>160000</v>
      </c>
      <c r="G39" s="66">
        <v>160000</v>
      </c>
      <c r="H39" s="260">
        <v>148825.6</v>
      </c>
      <c r="I39" s="260"/>
      <c r="J39" s="315">
        <f t="shared" si="1"/>
        <v>93</v>
      </c>
      <c r="K39" s="44"/>
      <c r="M39" s="26"/>
      <c r="N39" s="26"/>
      <c r="O39" s="26"/>
      <c r="P39" s="26"/>
      <c r="Q39" s="26"/>
    </row>
    <row r="40" spans="1:17" s="25" customFormat="1" ht="15">
      <c r="A40" s="242"/>
      <c r="B40" s="23"/>
      <c r="C40" s="23" t="s">
        <v>19</v>
      </c>
      <c r="D40" s="80" t="s">
        <v>164</v>
      </c>
      <c r="E40" s="81" t="s">
        <v>1</v>
      </c>
      <c r="F40" s="66">
        <v>100000</v>
      </c>
      <c r="G40" s="66">
        <f>100000+25000</f>
        <v>125000</v>
      </c>
      <c r="H40" s="260">
        <v>6000</v>
      </c>
      <c r="I40" s="260"/>
      <c r="J40" s="328">
        <f t="shared" si="1"/>
        <v>4.8</v>
      </c>
      <c r="K40" s="44"/>
      <c r="M40" s="26"/>
      <c r="N40" s="26"/>
      <c r="O40" s="26"/>
      <c r="P40" s="26"/>
      <c r="Q40" s="26"/>
    </row>
    <row r="41" spans="1:17" s="25" customFormat="1" ht="30">
      <c r="A41" s="242"/>
      <c r="B41" s="23"/>
      <c r="C41" s="23" t="s">
        <v>19</v>
      </c>
      <c r="D41" s="80" t="s">
        <v>165</v>
      </c>
      <c r="E41" s="81" t="s">
        <v>1</v>
      </c>
      <c r="F41" s="66">
        <v>100000</v>
      </c>
      <c r="G41" s="66">
        <f>100000+65000</f>
        <v>165000</v>
      </c>
      <c r="H41" s="260">
        <v>9540</v>
      </c>
      <c r="I41" s="260">
        <v>9540</v>
      </c>
      <c r="J41" s="332">
        <f t="shared" si="1"/>
        <v>5.8</v>
      </c>
      <c r="K41" s="44"/>
      <c r="M41" s="26"/>
      <c r="N41" s="26"/>
      <c r="O41" s="26"/>
      <c r="P41" s="26"/>
      <c r="Q41" s="26"/>
    </row>
    <row r="42" spans="1:17" s="25" customFormat="1" ht="15">
      <c r="A42" s="242"/>
      <c r="B42" s="23"/>
      <c r="C42" s="23" t="s">
        <v>19</v>
      </c>
      <c r="D42" s="80" t="s">
        <v>166</v>
      </c>
      <c r="E42" s="81" t="s">
        <v>1</v>
      </c>
      <c r="F42" s="66">
        <v>80000</v>
      </c>
      <c r="G42" s="66">
        <v>80000</v>
      </c>
      <c r="H42" s="260"/>
      <c r="I42" s="260"/>
      <c r="J42" s="328">
        <f t="shared" si="1"/>
        <v>0</v>
      </c>
      <c r="K42" s="44"/>
      <c r="M42" s="26"/>
      <c r="N42" s="26"/>
      <c r="O42" s="26"/>
      <c r="P42" s="26"/>
      <c r="Q42" s="26"/>
    </row>
    <row r="43" spans="1:17" s="25" customFormat="1" ht="15">
      <c r="A43" s="242"/>
      <c r="B43" s="23"/>
      <c r="C43" s="23" t="s">
        <v>19</v>
      </c>
      <c r="D43" s="80" t="s">
        <v>167</v>
      </c>
      <c r="E43" s="81" t="s">
        <v>1</v>
      </c>
      <c r="F43" s="66">
        <v>60000</v>
      </c>
      <c r="G43" s="66">
        <v>60000</v>
      </c>
      <c r="H43" s="260">
        <v>60904.63</v>
      </c>
      <c r="I43" s="260"/>
      <c r="J43" s="315">
        <f t="shared" si="1"/>
        <v>101.5</v>
      </c>
      <c r="K43" s="44"/>
      <c r="M43" s="26"/>
      <c r="N43" s="26"/>
      <c r="O43" s="26"/>
      <c r="P43" s="26"/>
      <c r="Q43" s="26"/>
    </row>
    <row r="44" spans="1:17" s="25" customFormat="1" ht="30">
      <c r="A44" s="242"/>
      <c r="B44" s="23"/>
      <c r="C44" s="23" t="s">
        <v>8</v>
      </c>
      <c r="D44" s="80" t="s">
        <v>168</v>
      </c>
      <c r="E44" s="81" t="s">
        <v>3</v>
      </c>
      <c r="F44" s="66">
        <v>45000</v>
      </c>
      <c r="G44" s="66">
        <v>45000</v>
      </c>
      <c r="H44" s="260"/>
      <c r="I44" s="260"/>
      <c r="J44" s="333">
        <f t="shared" si="1"/>
        <v>0</v>
      </c>
      <c r="K44" s="44"/>
      <c r="M44" s="26"/>
      <c r="N44" s="26"/>
      <c r="O44" s="26"/>
      <c r="P44" s="26"/>
      <c r="Q44" s="26"/>
    </row>
    <row r="45" spans="1:17" s="25" customFormat="1" ht="30">
      <c r="A45" s="242"/>
      <c r="B45" s="23"/>
      <c r="C45" s="23" t="s">
        <v>19</v>
      </c>
      <c r="D45" s="80" t="s">
        <v>169</v>
      </c>
      <c r="E45" s="81" t="s">
        <v>3</v>
      </c>
      <c r="F45" s="66">
        <v>10000</v>
      </c>
      <c r="G45" s="66">
        <v>10000</v>
      </c>
      <c r="H45" s="260"/>
      <c r="I45" s="260"/>
      <c r="J45" s="333">
        <f t="shared" si="1"/>
        <v>0</v>
      </c>
      <c r="K45" s="44"/>
      <c r="M45" s="26"/>
      <c r="N45" s="26"/>
      <c r="O45" s="26"/>
      <c r="P45" s="26"/>
      <c r="Q45" s="26"/>
    </row>
    <row r="46" spans="1:17" s="25" customFormat="1" ht="15">
      <c r="A46" s="242"/>
      <c r="B46" s="23"/>
      <c r="C46" s="23" t="s">
        <v>19</v>
      </c>
      <c r="D46" s="80" t="s">
        <v>170</v>
      </c>
      <c r="E46" s="81" t="s">
        <v>1</v>
      </c>
      <c r="F46" s="66">
        <v>300000</v>
      </c>
      <c r="G46" s="66">
        <v>300000</v>
      </c>
      <c r="H46" s="260">
        <f>SUM(H47)</f>
        <v>28593.6</v>
      </c>
      <c r="I46" s="260">
        <v>3408</v>
      </c>
      <c r="J46" s="315">
        <f t="shared" si="1"/>
        <v>9.5</v>
      </c>
      <c r="K46" s="44"/>
      <c r="M46" s="26"/>
      <c r="N46" s="26"/>
      <c r="O46" s="26"/>
      <c r="P46" s="26"/>
      <c r="Q46" s="26"/>
    </row>
    <row r="47" spans="1:17" s="25" customFormat="1" ht="15">
      <c r="A47" s="242"/>
      <c r="B47" s="23"/>
      <c r="C47" s="23" t="s">
        <v>19</v>
      </c>
      <c r="D47" s="80" t="s">
        <v>314</v>
      </c>
      <c r="E47" s="81"/>
      <c r="F47" s="66"/>
      <c r="G47" s="66">
        <v>28594</v>
      </c>
      <c r="H47" s="260">
        <v>28593.6</v>
      </c>
      <c r="I47" s="260">
        <v>3408</v>
      </c>
      <c r="J47" s="333"/>
      <c r="K47" s="44"/>
      <c r="M47" s="26"/>
      <c r="N47" s="26"/>
      <c r="O47" s="26"/>
      <c r="P47" s="26"/>
      <c r="Q47" s="26"/>
    </row>
    <row r="48" spans="1:17" s="25" customFormat="1" ht="15">
      <c r="A48" s="242"/>
      <c r="B48" s="23"/>
      <c r="C48" s="23" t="s">
        <v>19</v>
      </c>
      <c r="D48" s="85" t="s">
        <v>171</v>
      </c>
      <c r="E48" s="81" t="s">
        <v>1</v>
      </c>
      <c r="F48" s="66">
        <v>60000</v>
      </c>
      <c r="G48" s="66">
        <v>60000</v>
      </c>
      <c r="H48" s="260"/>
      <c r="I48" s="260"/>
      <c r="J48" s="333">
        <f>ROUND(H48/G48*100,1)</f>
        <v>0</v>
      </c>
      <c r="K48" s="44"/>
      <c r="M48" s="26"/>
      <c r="N48" s="26"/>
      <c r="O48" s="26"/>
      <c r="P48" s="26"/>
      <c r="Q48" s="26"/>
    </row>
    <row r="49" spans="1:17" s="25" customFormat="1" ht="15">
      <c r="A49" s="242"/>
      <c r="B49" s="23"/>
      <c r="C49" s="23" t="s">
        <v>19</v>
      </c>
      <c r="D49" s="80" t="s">
        <v>172</v>
      </c>
      <c r="E49" s="81" t="s">
        <v>1</v>
      </c>
      <c r="F49" s="66">
        <v>50000</v>
      </c>
      <c r="G49" s="66">
        <f>50000+11800</f>
        <v>61800</v>
      </c>
      <c r="H49" s="260"/>
      <c r="I49" s="260"/>
      <c r="J49" s="333">
        <f>ROUND(H49/G49*100,1)</f>
        <v>0</v>
      </c>
      <c r="K49" s="44"/>
      <c r="M49" s="26"/>
      <c r="N49" s="26"/>
      <c r="O49" s="26"/>
      <c r="P49" s="26"/>
      <c r="Q49" s="26"/>
    </row>
    <row r="50" spans="1:17" s="25" customFormat="1" ht="15">
      <c r="A50" s="242"/>
      <c r="B50" s="23"/>
      <c r="C50" s="23" t="s">
        <v>19</v>
      </c>
      <c r="D50" s="247" t="s">
        <v>21</v>
      </c>
      <c r="E50" s="81" t="s">
        <v>1</v>
      </c>
      <c r="F50" s="86">
        <v>164000</v>
      </c>
      <c r="G50" s="86">
        <v>164000</v>
      </c>
      <c r="H50" s="272"/>
      <c r="I50" s="272"/>
      <c r="J50" s="333">
        <f>ROUND(H50/G50*100,1)</f>
        <v>0</v>
      </c>
      <c r="K50" s="44"/>
      <c r="M50" s="26"/>
      <c r="N50" s="26"/>
      <c r="O50" s="26"/>
      <c r="P50" s="26"/>
      <c r="Q50" s="26"/>
    </row>
    <row r="51" spans="1:17" s="25" customFormat="1" ht="15">
      <c r="A51" s="242"/>
      <c r="B51" s="23"/>
      <c r="C51" s="23" t="s">
        <v>19</v>
      </c>
      <c r="D51" s="247" t="s">
        <v>22</v>
      </c>
      <c r="E51" s="81" t="s">
        <v>1</v>
      </c>
      <c r="F51" s="86">
        <v>1209000</v>
      </c>
      <c r="G51" s="86">
        <f>1209000+111000+61075</f>
        <v>1381075</v>
      </c>
      <c r="H51" s="272">
        <f>SUM(H52,H53)</f>
        <v>51279.2</v>
      </c>
      <c r="I51" s="272">
        <f>SUM(I52,I53)</f>
        <v>33579.2</v>
      </c>
      <c r="J51" s="315">
        <f>ROUND(H51/G51*100,1)</f>
        <v>3.7</v>
      </c>
      <c r="K51" s="44"/>
      <c r="M51" s="26"/>
      <c r="N51" s="26"/>
      <c r="O51" s="26"/>
      <c r="P51" s="26"/>
      <c r="Q51" s="26"/>
    </row>
    <row r="52" spans="1:17" s="25" customFormat="1" ht="15">
      <c r="A52" s="242"/>
      <c r="B52" s="23"/>
      <c r="C52" s="23"/>
      <c r="D52" s="85" t="s">
        <v>315</v>
      </c>
      <c r="E52" s="81"/>
      <c r="F52" s="86"/>
      <c r="G52" s="86"/>
      <c r="H52" s="272"/>
      <c r="I52" s="272"/>
      <c r="J52" s="333"/>
      <c r="K52" s="44"/>
      <c r="M52" s="26"/>
      <c r="N52" s="26"/>
      <c r="O52" s="26"/>
      <c r="P52" s="26"/>
      <c r="Q52" s="26"/>
    </row>
    <row r="53" spans="1:11" ht="15">
      <c r="A53" s="242"/>
      <c r="D53" s="85" t="s">
        <v>316</v>
      </c>
      <c r="E53" s="81"/>
      <c r="F53" s="86"/>
      <c r="G53" s="86"/>
      <c r="H53" s="260">
        <v>51279.2</v>
      </c>
      <c r="I53" s="260">
        <v>33579.2</v>
      </c>
      <c r="J53" s="333"/>
      <c r="K53" s="44"/>
    </row>
    <row r="54" spans="1:11" ht="15">
      <c r="A54" s="242"/>
      <c r="D54" s="85" t="s">
        <v>326</v>
      </c>
      <c r="E54" s="81"/>
      <c r="F54" s="86"/>
      <c r="G54" s="86"/>
      <c r="H54" s="260"/>
      <c r="I54" s="260"/>
      <c r="J54" s="333"/>
      <c r="K54" s="44"/>
    </row>
    <row r="55" spans="1:11" ht="15">
      <c r="A55" s="242"/>
      <c r="D55" s="85" t="s">
        <v>327</v>
      </c>
      <c r="E55" s="81"/>
      <c r="F55" s="86"/>
      <c r="G55" s="86"/>
      <c r="H55" s="260"/>
      <c r="I55" s="260"/>
      <c r="J55" s="333"/>
      <c r="K55" s="44"/>
    </row>
    <row r="56" spans="1:11" ht="15">
      <c r="A56" s="242"/>
      <c r="D56" s="85" t="s">
        <v>328</v>
      </c>
      <c r="E56" s="81"/>
      <c r="F56" s="86"/>
      <c r="G56" s="86"/>
      <c r="H56" s="260"/>
      <c r="I56" s="260"/>
      <c r="J56" s="333"/>
      <c r="K56" s="44"/>
    </row>
    <row r="57" spans="1:11" ht="15">
      <c r="A57" s="242"/>
      <c r="D57" s="85" t="s">
        <v>329</v>
      </c>
      <c r="E57" s="81"/>
      <c r="F57" s="86"/>
      <c r="G57" s="86"/>
      <c r="H57" s="260"/>
      <c r="I57" s="260"/>
      <c r="J57" s="333"/>
      <c r="K57" s="44"/>
    </row>
    <row r="58" spans="1:11" ht="15">
      <c r="A58" s="242"/>
      <c r="D58" s="85" t="s">
        <v>330</v>
      </c>
      <c r="E58" s="81"/>
      <c r="F58" s="86"/>
      <c r="G58" s="86"/>
      <c r="H58" s="260"/>
      <c r="I58" s="260"/>
      <c r="J58" s="333"/>
      <c r="K58" s="44"/>
    </row>
    <row r="59" spans="1:11" ht="15">
      <c r="A59" s="242"/>
      <c r="D59" s="85" t="s">
        <v>331</v>
      </c>
      <c r="E59" s="81"/>
      <c r="F59" s="86"/>
      <c r="G59" s="86"/>
      <c r="H59" s="260"/>
      <c r="I59" s="260"/>
      <c r="J59" s="333"/>
      <c r="K59" s="44"/>
    </row>
    <row r="60" spans="1:11" ht="15">
      <c r="A60" s="242"/>
      <c r="D60" s="85" t="s">
        <v>332</v>
      </c>
      <c r="E60" s="81"/>
      <c r="F60" s="86"/>
      <c r="G60" s="86"/>
      <c r="H60" s="260"/>
      <c r="I60" s="260"/>
      <c r="J60" s="333"/>
      <c r="K60" s="44"/>
    </row>
    <row r="61" spans="1:11" ht="15">
      <c r="A61" s="242"/>
      <c r="D61" s="85" t="s">
        <v>333</v>
      </c>
      <c r="E61" s="81"/>
      <c r="F61" s="86"/>
      <c r="G61" s="86"/>
      <c r="H61" s="260"/>
      <c r="I61" s="260"/>
      <c r="J61" s="333"/>
      <c r="K61" s="44"/>
    </row>
    <row r="62" spans="1:14" s="25" customFormat="1" ht="15">
      <c r="A62" s="242"/>
      <c r="B62" s="23"/>
      <c r="C62" s="23" t="s">
        <v>19</v>
      </c>
      <c r="D62" s="247" t="s">
        <v>173</v>
      </c>
      <c r="E62" s="81" t="s">
        <v>1</v>
      </c>
      <c r="F62" s="86">
        <f>SUM(F63:F77)</f>
        <v>3749671</v>
      </c>
      <c r="G62" s="86">
        <f>SUM(G63:G77)</f>
        <v>3765671</v>
      </c>
      <c r="H62" s="86">
        <f>SUM(H63:H77)</f>
        <v>144678.1</v>
      </c>
      <c r="I62" s="86">
        <f>SUM(I63:I77)</f>
        <v>84776.69</v>
      </c>
      <c r="J62" s="315">
        <f aca="true" t="shared" si="2" ref="J62:J68">ROUND(H62/G62*100,1)</f>
        <v>3.8</v>
      </c>
      <c r="K62" s="44"/>
      <c r="M62" s="26"/>
      <c r="N62" s="26"/>
    </row>
    <row r="63" spans="1:14" s="25" customFormat="1" ht="15">
      <c r="A63" s="242"/>
      <c r="B63" s="23"/>
      <c r="C63" s="23"/>
      <c r="D63" s="85" t="s">
        <v>144</v>
      </c>
      <c r="E63" s="76"/>
      <c r="F63" s="66">
        <v>162486</v>
      </c>
      <c r="G63" s="66">
        <v>162486</v>
      </c>
      <c r="H63" s="260">
        <v>15872.11</v>
      </c>
      <c r="I63" s="260"/>
      <c r="J63" s="315">
        <f t="shared" si="2"/>
        <v>9.8</v>
      </c>
      <c r="K63" s="44"/>
      <c r="M63" s="26"/>
      <c r="N63" s="26"/>
    </row>
    <row r="64" spans="1:14" s="25" customFormat="1" ht="15">
      <c r="A64" s="242"/>
      <c r="B64" s="23"/>
      <c r="C64" s="23"/>
      <c r="D64" s="87" t="s">
        <v>144</v>
      </c>
      <c r="E64" s="273"/>
      <c r="F64" s="84">
        <v>1083240</v>
      </c>
      <c r="G64" s="84">
        <v>1083240</v>
      </c>
      <c r="H64" s="260"/>
      <c r="I64" s="260"/>
      <c r="J64" s="315">
        <f t="shared" si="2"/>
        <v>0</v>
      </c>
      <c r="K64" s="44"/>
      <c r="M64" s="26"/>
      <c r="N64" s="26"/>
    </row>
    <row r="65" spans="1:14" s="25" customFormat="1" ht="15">
      <c r="A65" s="242"/>
      <c r="B65" s="23"/>
      <c r="C65" s="23"/>
      <c r="D65" s="85" t="s">
        <v>174</v>
      </c>
      <c r="E65" s="88"/>
      <c r="F65" s="66">
        <v>133059</v>
      </c>
      <c r="G65" s="66">
        <v>133059</v>
      </c>
      <c r="H65" s="274">
        <v>20365.3</v>
      </c>
      <c r="I65" s="260"/>
      <c r="J65" s="315">
        <f t="shared" si="2"/>
        <v>15.3</v>
      </c>
      <c r="K65" s="44"/>
      <c r="M65" s="26"/>
      <c r="N65" s="26"/>
    </row>
    <row r="66" spans="1:11" ht="15">
      <c r="A66" s="242"/>
      <c r="D66" s="87" t="s">
        <v>174</v>
      </c>
      <c r="E66" s="88"/>
      <c r="F66" s="84">
        <v>887060</v>
      </c>
      <c r="G66" s="84">
        <v>887060</v>
      </c>
      <c r="H66" s="271"/>
      <c r="I66" s="271"/>
      <c r="J66" s="331">
        <f t="shared" si="2"/>
        <v>0</v>
      </c>
      <c r="K66" s="44"/>
    </row>
    <row r="67" spans="1:11" ht="15">
      <c r="A67" s="242"/>
      <c r="D67" s="85" t="s">
        <v>145</v>
      </c>
      <c r="E67" s="88"/>
      <c r="F67" s="66">
        <v>116586</v>
      </c>
      <c r="G67" s="66">
        <v>116586</v>
      </c>
      <c r="H67" s="260">
        <v>14592</v>
      </c>
      <c r="I67" s="260"/>
      <c r="J67" s="315">
        <f t="shared" si="2"/>
        <v>12.5</v>
      </c>
      <c r="K67" s="44"/>
    </row>
    <row r="68" spans="1:11" ht="15">
      <c r="A68" s="242"/>
      <c r="D68" s="87" t="s">
        <v>145</v>
      </c>
      <c r="E68" s="88"/>
      <c r="F68" s="84">
        <v>777240</v>
      </c>
      <c r="G68" s="84">
        <v>777240</v>
      </c>
      <c r="H68" s="271"/>
      <c r="I68" s="271"/>
      <c r="J68" s="334">
        <f t="shared" si="2"/>
        <v>0</v>
      </c>
      <c r="K68" s="44"/>
    </row>
    <row r="69" spans="1:12" ht="15">
      <c r="A69" s="242"/>
      <c r="D69" s="85" t="s">
        <v>175</v>
      </c>
      <c r="E69" s="88"/>
      <c r="F69" s="66">
        <v>130000</v>
      </c>
      <c r="G69" s="66">
        <v>130000</v>
      </c>
      <c r="H69" s="260"/>
      <c r="I69" s="260"/>
      <c r="J69" s="333"/>
      <c r="K69" s="44"/>
      <c r="L69" s="26"/>
    </row>
    <row r="70" spans="1:12" ht="15">
      <c r="A70" s="242"/>
      <c r="D70" s="89" t="s">
        <v>176</v>
      </c>
      <c r="E70" s="88"/>
      <c r="F70" s="66">
        <v>90000</v>
      </c>
      <c r="G70" s="66">
        <v>90000</v>
      </c>
      <c r="H70" s="260"/>
      <c r="I70" s="260"/>
      <c r="J70" s="333">
        <f aca="true" t="shared" si="3" ref="J70:J79">ROUND(H70/G70*100,1)</f>
        <v>0</v>
      </c>
      <c r="K70" s="44"/>
      <c r="L70" s="26"/>
    </row>
    <row r="71" spans="1:12" ht="15">
      <c r="A71" s="242"/>
      <c r="D71" s="85" t="s">
        <v>177</v>
      </c>
      <c r="E71" s="88"/>
      <c r="F71" s="66">
        <v>80000</v>
      </c>
      <c r="G71" s="66">
        <v>80000</v>
      </c>
      <c r="H71" s="260">
        <v>9072</v>
      </c>
      <c r="I71" s="260"/>
      <c r="J71" s="315">
        <f t="shared" si="3"/>
        <v>11.3</v>
      </c>
      <c r="K71" s="44"/>
      <c r="L71" s="26"/>
    </row>
    <row r="72" spans="1:12" ht="15">
      <c r="A72" s="242"/>
      <c r="D72" s="85" t="s">
        <v>178</v>
      </c>
      <c r="E72" s="88"/>
      <c r="F72" s="66">
        <v>70000</v>
      </c>
      <c r="G72" s="66">
        <v>70000</v>
      </c>
      <c r="H72" s="260"/>
      <c r="I72" s="260"/>
      <c r="J72" s="333">
        <f t="shared" si="3"/>
        <v>0</v>
      </c>
      <c r="K72" s="44"/>
      <c r="L72" s="26"/>
    </row>
    <row r="73" spans="1:12" ht="15">
      <c r="A73" s="242"/>
      <c r="D73" s="85" t="s">
        <v>179</v>
      </c>
      <c r="E73" s="88"/>
      <c r="F73" s="66">
        <v>70000</v>
      </c>
      <c r="G73" s="66">
        <v>70000</v>
      </c>
      <c r="H73" s="260">
        <v>29966.69</v>
      </c>
      <c r="I73" s="260">
        <v>29966.69</v>
      </c>
      <c r="J73" s="315">
        <f t="shared" si="3"/>
        <v>42.8</v>
      </c>
      <c r="K73" s="44"/>
      <c r="L73" s="26"/>
    </row>
    <row r="74" spans="1:12" ht="30">
      <c r="A74" s="242"/>
      <c r="D74" s="85" t="s">
        <v>317</v>
      </c>
      <c r="E74" s="88"/>
      <c r="F74" s="66"/>
      <c r="G74" s="66">
        <v>42924</v>
      </c>
      <c r="H74" s="260">
        <v>24015.6</v>
      </c>
      <c r="I74" s="260">
        <v>24015.6</v>
      </c>
      <c r="J74" s="316">
        <f t="shared" si="3"/>
        <v>55.9</v>
      </c>
      <c r="K74" s="44"/>
      <c r="L74" s="26"/>
    </row>
    <row r="75" spans="1:12" ht="30">
      <c r="A75" s="242"/>
      <c r="D75" s="85" t="s">
        <v>318</v>
      </c>
      <c r="E75" s="88"/>
      <c r="F75" s="66"/>
      <c r="G75" s="66">
        <v>40026</v>
      </c>
      <c r="H75" s="260">
        <v>25754.4</v>
      </c>
      <c r="I75" s="260">
        <v>25754.4</v>
      </c>
      <c r="J75" s="316">
        <f t="shared" si="3"/>
        <v>64.3</v>
      </c>
      <c r="K75" s="44"/>
      <c r="L75" s="26"/>
    </row>
    <row r="76" spans="1:12" ht="15">
      <c r="A76" s="242"/>
      <c r="D76" s="85" t="s">
        <v>298</v>
      </c>
      <c r="E76" s="88"/>
      <c r="F76" s="66"/>
      <c r="G76" s="66">
        <v>10000</v>
      </c>
      <c r="H76" s="260"/>
      <c r="I76" s="260"/>
      <c r="J76" s="333">
        <f t="shared" si="3"/>
        <v>0</v>
      </c>
      <c r="K76" s="44"/>
      <c r="L76" s="26"/>
    </row>
    <row r="77" spans="1:12" ht="15">
      <c r="A77" s="242"/>
      <c r="C77" s="23" t="s">
        <v>19</v>
      </c>
      <c r="D77" s="85" t="s">
        <v>360</v>
      </c>
      <c r="E77" s="88"/>
      <c r="F77" s="66">
        <v>150000</v>
      </c>
      <c r="G77" s="275">
        <f>150000-82950+6000</f>
        <v>73050</v>
      </c>
      <c r="H77" s="260">
        <f>SUM(H78:H80)</f>
        <v>5040</v>
      </c>
      <c r="I77" s="260">
        <f>SUM(I78:I80)</f>
        <v>5040</v>
      </c>
      <c r="J77" s="333">
        <f t="shared" si="3"/>
        <v>6.9</v>
      </c>
      <c r="K77" s="44"/>
      <c r="L77" s="26"/>
    </row>
    <row r="78" spans="1:12" ht="15">
      <c r="A78" s="242"/>
      <c r="D78" s="85" t="s">
        <v>361</v>
      </c>
      <c r="E78" s="88"/>
      <c r="F78" s="66"/>
      <c r="G78" s="66">
        <v>6000</v>
      </c>
      <c r="H78" s="260"/>
      <c r="I78" s="260"/>
      <c r="J78" s="333">
        <f t="shared" si="3"/>
        <v>0</v>
      </c>
      <c r="K78" s="44"/>
      <c r="L78" s="26"/>
    </row>
    <row r="79" spans="1:12" ht="30">
      <c r="A79" s="242"/>
      <c r="D79" s="85" t="s">
        <v>362</v>
      </c>
      <c r="E79" s="88"/>
      <c r="F79" s="66"/>
      <c r="G79" s="66">
        <v>5040</v>
      </c>
      <c r="H79" s="260">
        <v>5040</v>
      </c>
      <c r="I79" s="260">
        <v>5040</v>
      </c>
      <c r="J79" s="316">
        <f t="shared" si="3"/>
        <v>100</v>
      </c>
      <c r="K79" s="44"/>
      <c r="L79" s="26"/>
    </row>
    <row r="80" spans="1:12" ht="15">
      <c r="A80" s="242"/>
      <c r="D80" s="85" t="s">
        <v>363</v>
      </c>
      <c r="E80" s="88"/>
      <c r="F80" s="66"/>
      <c r="G80" s="66">
        <v>11832</v>
      </c>
      <c r="H80" s="260"/>
      <c r="I80" s="260"/>
      <c r="J80" s="333"/>
      <c r="K80" s="44"/>
      <c r="L80" s="26"/>
    </row>
    <row r="81" spans="1:12" ht="15">
      <c r="A81" s="242"/>
      <c r="C81" s="23" t="s">
        <v>19</v>
      </c>
      <c r="D81" s="335" t="s">
        <v>180</v>
      </c>
      <c r="E81" s="336"/>
      <c r="F81" s="337"/>
      <c r="G81" s="337"/>
      <c r="H81" s="338">
        <v>3264</v>
      </c>
      <c r="I81" s="338"/>
      <c r="J81" s="339"/>
      <c r="K81" s="44"/>
      <c r="L81" s="26"/>
    </row>
    <row r="82" spans="1:11" ht="15">
      <c r="A82" s="242"/>
      <c r="C82" s="23" t="s">
        <v>19</v>
      </c>
      <c r="D82" s="90" t="s">
        <v>23</v>
      </c>
      <c r="E82" s="74" t="s">
        <v>1</v>
      </c>
      <c r="F82" s="86">
        <v>200000</v>
      </c>
      <c r="G82" s="86">
        <v>200000</v>
      </c>
      <c r="H82" s="272">
        <v>112094</v>
      </c>
      <c r="I82" s="272">
        <v>9306</v>
      </c>
      <c r="J82" s="333">
        <f aca="true" t="shared" si="4" ref="J82:J124">ROUND(H82/G82*100,1)</f>
        <v>56</v>
      </c>
      <c r="K82" s="44"/>
    </row>
    <row r="83" spans="1:11" ht="15">
      <c r="A83" s="242"/>
      <c r="C83" s="23" t="s">
        <v>19</v>
      </c>
      <c r="D83" s="90" t="s">
        <v>24</v>
      </c>
      <c r="E83" s="81" t="s">
        <v>1</v>
      </c>
      <c r="F83" s="86">
        <v>100000</v>
      </c>
      <c r="G83" s="86">
        <f>100000+69000</f>
        <v>169000</v>
      </c>
      <c r="H83" s="272"/>
      <c r="I83" s="272"/>
      <c r="J83" s="333">
        <f t="shared" si="4"/>
        <v>0</v>
      </c>
      <c r="K83" s="44"/>
    </row>
    <row r="84" spans="1:11" ht="29.25">
      <c r="A84" s="242"/>
      <c r="C84" s="23" t="s">
        <v>19</v>
      </c>
      <c r="D84" s="276" t="s">
        <v>334</v>
      </c>
      <c r="E84" s="81" t="s">
        <v>1</v>
      </c>
      <c r="F84" s="92"/>
      <c r="G84" s="92">
        <v>11500</v>
      </c>
      <c r="H84" s="277"/>
      <c r="I84" s="277"/>
      <c r="J84" s="333"/>
      <c r="K84" s="44"/>
    </row>
    <row r="85" spans="1:11" ht="15">
      <c r="A85" s="242"/>
      <c r="C85" s="23" t="s">
        <v>19</v>
      </c>
      <c r="D85" s="91" t="s">
        <v>181</v>
      </c>
      <c r="E85" s="76"/>
      <c r="F85" s="92">
        <f>SUM(F86,F87)</f>
        <v>95000</v>
      </c>
      <c r="G85" s="92">
        <f>SUM(G86,G87)</f>
        <v>81000</v>
      </c>
      <c r="H85" s="92">
        <f>SUM(H86,H87)</f>
        <v>30996</v>
      </c>
      <c r="I85" s="92">
        <f>SUM(I86,I87)</f>
        <v>30996</v>
      </c>
      <c r="J85" s="333">
        <f t="shared" si="4"/>
        <v>38.3</v>
      </c>
      <c r="K85" s="44"/>
    </row>
    <row r="86" spans="1:12" s="63" customFormat="1" ht="31.5" customHeight="1">
      <c r="A86" s="248"/>
      <c r="C86" s="23" t="s">
        <v>19</v>
      </c>
      <c r="D86" s="93" t="s">
        <v>182</v>
      </c>
      <c r="E86" s="76" t="s">
        <v>1</v>
      </c>
      <c r="F86" s="94">
        <v>45000</v>
      </c>
      <c r="G86" s="340">
        <f>45000-14000</f>
        <v>31000</v>
      </c>
      <c r="H86" s="278">
        <v>30996</v>
      </c>
      <c r="I86" s="278">
        <v>30996</v>
      </c>
      <c r="J86" s="316">
        <f t="shared" si="4"/>
        <v>100</v>
      </c>
      <c r="K86" s="95"/>
      <c r="L86" s="96"/>
    </row>
    <row r="87" spans="1:12" s="63" customFormat="1" ht="31.5" customHeight="1">
      <c r="A87" s="248"/>
      <c r="C87" s="23" t="s">
        <v>19</v>
      </c>
      <c r="D87" s="93" t="s">
        <v>364</v>
      </c>
      <c r="E87" s="76" t="s">
        <v>1</v>
      </c>
      <c r="F87" s="94">
        <v>50000</v>
      </c>
      <c r="G87" s="340">
        <v>50000</v>
      </c>
      <c r="H87" s="340"/>
      <c r="I87" s="340"/>
      <c r="J87" s="333">
        <f t="shared" si="4"/>
        <v>0</v>
      </c>
      <c r="K87" s="95"/>
      <c r="L87" s="96"/>
    </row>
    <row r="88" spans="1:12" s="63" customFormat="1" ht="31.5" customHeight="1">
      <c r="A88" s="248"/>
      <c r="C88" s="23"/>
      <c r="D88" s="91" t="s">
        <v>183</v>
      </c>
      <c r="E88" s="76"/>
      <c r="F88" s="94"/>
      <c r="G88" s="94">
        <f>SUM(G89:G91)</f>
        <v>20088</v>
      </c>
      <c r="H88" s="94">
        <f>SUM(H89:H91)</f>
        <v>11088</v>
      </c>
      <c r="I88" s="94">
        <f>SUM(I89:I91)</f>
        <v>0</v>
      </c>
      <c r="J88" s="316">
        <f t="shared" si="4"/>
        <v>55.2</v>
      </c>
      <c r="K88" s="95"/>
      <c r="L88" s="96"/>
    </row>
    <row r="89" spans="1:12" s="63" customFormat="1" ht="28.5" customHeight="1">
      <c r="A89" s="248"/>
      <c r="C89" s="23" t="s">
        <v>16</v>
      </c>
      <c r="D89" s="93" t="s">
        <v>184</v>
      </c>
      <c r="E89" s="76" t="s">
        <v>1</v>
      </c>
      <c r="F89" s="94"/>
      <c r="G89" s="97">
        <v>5088</v>
      </c>
      <c r="H89" s="278">
        <v>5088</v>
      </c>
      <c r="I89" s="278"/>
      <c r="J89" s="316">
        <f t="shared" si="4"/>
        <v>100</v>
      </c>
      <c r="K89" s="95"/>
      <c r="L89" s="96"/>
    </row>
    <row r="90" spans="1:12" s="63" customFormat="1" ht="28.5" customHeight="1">
      <c r="A90" s="248"/>
      <c r="C90" s="23" t="s">
        <v>19</v>
      </c>
      <c r="D90" s="93" t="s">
        <v>335</v>
      </c>
      <c r="E90" s="76" t="s">
        <v>1</v>
      </c>
      <c r="F90" s="94"/>
      <c r="G90" s="97">
        <v>15000</v>
      </c>
      <c r="H90" s="278"/>
      <c r="I90" s="278"/>
      <c r="J90" s="341"/>
      <c r="K90" s="95"/>
      <c r="L90" s="96"/>
    </row>
    <row r="91" spans="1:12" s="63" customFormat="1" ht="28.5" customHeight="1">
      <c r="A91" s="248"/>
      <c r="C91" s="23" t="s">
        <v>19</v>
      </c>
      <c r="D91" s="93" t="s">
        <v>336</v>
      </c>
      <c r="E91" s="76" t="s">
        <v>1</v>
      </c>
      <c r="F91" s="94"/>
      <c r="G91" s="97"/>
      <c r="H91" s="278">
        <v>6000</v>
      </c>
      <c r="I91" s="278"/>
      <c r="J91" s="341"/>
      <c r="K91" s="95"/>
      <c r="L91" s="96"/>
    </row>
    <row r="92" spans="1:12" s="63" customFormat="1" ht="19.5" customHeight="1">
      <c r="A92" s="248"/>
      <c r="D92" s="98" t="s">
        <v>25</v>
      </c>
      <c r="E92" s="99"/>
      <c r="F92" s="94">
        <f>SUM(F93:F94)</f>
        <v>110000</v>
      </c>
      <c r="G92" s="94">
        <f>SUM(G93:G94)</f>
        <v>110000</v>
      </c>
      <c r="H92" s="94">
        <f>SUM(H93:H94)</f>
        <v>45000</v>
      </c>
      <c r="I92" s="94"/>
      <c r="J92" s="341">
        <f t="shared" si="4"/>
        <v>40.9</v>
      </c>
      <c r="K92" s="95"/>
      <c r="L92" s="96"/>
    </row>
    <row r="93" spans="1:13" s="103" customFormat="1" ht="30" customHeight="1">
      <c r="A93" s="248"/>
      <c r="B93" s="63"/>
      <c r="C93" s="63" t="s">
        <v>185</v>
      </c>
      <c r="D93" s="100" t="s">
        <v>26</v>
      </c>
      <c r="E93" s="74" t="s">
        <v>3</v>
      </c>
      <c r="F93" s="101">
        <v>85000</v>
      </c>
      <c r="G93" s="101">
        <v>85000</v>
      </c>
      <c r="H93" s="279">
        <v>20000</v>
      </c>
      <c r="I93" s="279"/>
      <c r="J93" s="314">
        <f t="shared" si="4"/>
        <v>23.5</v>
      </c>
      <c r="K93" s="95"/>
      <c r="L93" s="102"/>
      <c r="M93" s="249"/>
    </row>
    <row r="94" spans="1:12" s="103" customFormat="1" ht="30">
      <c r="A94" s="248"/>
      <c r="B94" s="63"/>
      <c r="C94" s="63" t="s">
        <v>185</v>
      </c>
      <c r="D94" s="80" t="s">
        <v>186</v>
      </c>
      <c r="E94" s="81" t="s">
        <v>3</v>
      </c>
      <c r="F94" s="104">
        <v>25000</v>
      </c>
      <c r="G94" s="104">
        <v>25000</v>
      </c>
      <c r="H94" s="280">
        <v>25000</v>
      </c>
      <c r="I94" s="280"/>
      <c r="J94" s="315">
        <f t="shared" si="4"/>
        <v>100</v>
      </c>
      <c r="K94" s="95"/>
      <c r="L94" s="102"/>
    </row>
    <row r="95" spans="1:12" s="23" customFormat="1" ht="17.25" customHeight="1">
      <c r="A95" s="242"/>
      <c r="D95" s="91" t="s">
        <v>27</v>
      </c>
      <c r="E95" s="76"/>
      <c r="F95" s="69">
        <f>SUM(F96:F100)</f>
        <v>305000</v>
      </c>
      <c r="G95" s="69">
        <f>SUM(G96:G102)</f>
        <v>1313444</v>
      </c>
      <c r="H95" s="69">
        <f>SUM(H96:H102)</f>
        <v>141568.31</v>
      </c>
      <c r="I95" s="69">
        <f>SUM(I96:I102)</f>
        <v>104952.93000000001</v>
      </c>
      <c r="J95" s="341">
        <f t="shared" si="4"/>
        <v>10.8</v>
      </c>
      <c r="K95" s="44"/>
      <c r="L95" s="75"/>
    </row>
    <row r="96" spans="1:11" ht="30">
      <c r="A96" s="242"/>
      <c r="C96" s="23" t="s">
        <v>16</v>
      </c>
      <c r="D96" s="100" t="s">
        <v>187</v>
      </c>
      <c r="E96" s="74" t="s">
        <v>1</v>
      </c>
      <c r="F96" s="43">
        <v>120000</v>
      </c>
      <c r="G96" s="43">
        <v>120000</v>
      </c>
      <c r="H96" s="259">
        <v>88407.08</v>
      </c>
      <c r="I96" s="259">
        <v>84478.08</v>
      </c>
      <c r="J96" s="314">
        <f t="shared" si="4"/>
        <v>73.7</v>
      </c>
      <c r="K96" s="44"/>
    </row>
    <row r="97" spans="1:11" ht="15">
      <c r="A97" s="242"/>
      <c r="C97" s="23" t="s">
        <v>16</v>
      </c>
      <c r="D97" s="80" t="s">
        <v>28</v>
      </c>
      <c r="E97" s="81" t="s">
        <v>1</v>
      </c>
      <c r="F97" s="66">
        <v>50000</v>
      </c>
      <c r="G97" s="66">
        <v>50000</v>
      </c>
      <c r="H97" s="260">
        <v>16659.58</v>
      </c>
      <c r="I97" s="260">
        <v>2127</v>
      </c>
      <c r="J97" s="315">
        <f t="shared" si="4"/>
        <v>33.3</v>
      </c>
      <c r="K97" s="44"/>
    </row>
    <row r="98" spans="1:11" ht="15">
      <c r="A98" s="242"/>
      <c r="C98" s="23" t="s">
        <v>16</v>
      </c>
      <c r="D98" s="80" t="s">
        <v>29</v>
      </c>
      <c r="E98" s="81" t="s">
        <v>1</v>
      </c>
      <c r="F98" s="66">
        <v>50000</v>
      </c>
      <c r="G98" s="66">
        <v>50000</v>
      </c>
      <c r="H98" s="260">
        <v>875.85</v>
      </c>
      <c r="I98" s="260">
        <v>875.85</v>
      </c>
      <c r="J98" s="315">
        <f t="shared" si="4"/>
        <v>1.8</v>
      </c>
      <c r="K98" s="44"/>
    </row>
    <row r="99" spans="1:11" ht="15">
      <c r="A99" s="242"/>
      <c r="C99" s="23" t="s">
        <v>16</v>
      </c>
      <c r="D99" s="80" t="s">
        <v>188</v>
      </c>
      <c r="E99" s="81" t="s">
        <v>1</v>
      </c>
      <c r="F99" s="66">
        <v>70000</v>
      </c>
      <c r="G99" s="66">
        <v>70000</v>
      </c>
      <c r="H99" s="260"/>
      <c r="I99" s="260"/>
      <c r="J99" s="333">
        <f t="shared" si="4"/>
        <v>0</v>
      </c>
      <c r="K99" s="44"/>
    </row>
    <row r="100" spans="1:11" ht="15">
      <c r="A100" s="242"/>
      <c r="C100" s="23" t="s">
        <v>16</v>
      </c>
      <c r="D100" s="93" t="s">
        <v>189</v>
      </c>
      <c r="E100" s="76" t="s">
        <v>1</v>
      </c>
      <c r="F100" s="129">
        <v>15000</v>
      </c>
      <c r="G100" s="129">
        <v>15000</v>
      </c>
      <c r="H100" s="284">
        <v>1741.8</v>
      </c>
      <c r="I100" s="284"/>
      <c r="J100" s="341">
        <f t="shared" si="4"/>
        <v>11.6</v>
      </c>
      <c r="K100" s="109"/>
    </row>
    <row r="101" spans="1:11" ht="45">
      <c r="A101" s="242"/>
      <c r="C101" s="23" t="s">
        <v>17</v>
      </c>
      <c r="D101" s="82" t="s">
        <v>365</v>
      </c>
      <c r="E101" s="83" t="s">
        <v>1</v>
      </c>
      <c r="F101" s="84"/>
      <c r="G101" s="84">
        <v>994477</v>
      </c>
      <c r="H101" s="271">
        <v>23712</v>
      </c>
      <c r="I101" s="271">
        <v>17472</v>
      </c>
      <c r="J101" s="342">
        <f t="shared" si="4"/>
        <v>2.4</v>
      </c>
      <c r="K101" s="44"/>
    </row>
    <row r="102" spans="1:11" ht="15">
      <c r="A102" s="253"/>
      <c r="B102" s="105"/>
      <c r="C102" s="23" t="s">
        <v>44</v>
      </c>
      <c r="D102" s="343" t="s">
        <v>302</v>
      </c>
      <c r="E102" s="168" t="s">
        <v>1</v>
      </c>
      <c r="F102" s="108"/>
      <c r="G102" s="108">
        <v>13967</v>
      </c>
      <c r="H102" s="281">
        <v>10172</v>
      </c>
      <c r="I102" s="281"/>
      <c r="J102" s="317">
        <f t="shared" si="4"/>
        <v>72.8</v>
      </c>
      <c r="K102" s="44"/>
    </row>
    <row r="103" spans="1:12" s="32" customFormat="1" ht="24" customHeight="1">
      <c r="A103" s="244"/>
      <c r="B103" s="33"/>
      <c r="C103" s="33"/>
      <c r="D103" s="56" t="s">
        <v>190</v>
      </c>
      <c r="E103" s="57"/>
      <c r="F103" s="58">
        <f>SUM(F104,F105,F106,F119)</f>
        <v>507541</v>
      </c>
      <c r="G103" s="58">
        <f>SUM(G104,G105,G106,G118)</f>
        <v>454866</v>
      </c>
      <c r="H103" s="58">
        <f>SUM(H104,H105,H106,H118)</f>
        <v>170950.72</v>
      </c>
      <c r="I103" s="58">
        <f>SUM(I104,I105,I106,I118)</f>
        <v>139160.72</v>
      </c>
      <c r="J103" s="58">
        <f t="shared" si="4"/>
        <v>37.6</v>
      </c>
      <c r="K103" s="59"/>
      <c r="L103" s="110"/>
    </row>
    <row r="104" spans="1:12" s="32" customFormat="1" ht="30">
      <c r="A104" s="241"/>
      <c r="C104" s="32" t="s">
        <v>19</v>
      </c>
      <c r="D104" s="111" t="s">
        <v>191</v>
      </c>
      <c r="E104" s="112" t="s">
        <v>3</v>
      </c>
      <c r="F104" s="113">
        <v>32000</v>
      </c>
      <c r="G104" s="113">
        <v>32000</v>
      </c>
      <c r="H104" s="113">
        <v>3000</v>
      </c>
      <c r="I104" s="113"/>
      <c r="J104" s="326">
        <f t="shared" si="4"/>
        <v>9.4</v>
      </c>
      <c r="K104" s="38"/>
      <c r="L104" s="110"/>
    </row>
    <row r="105" spans="1:12" s="114" customFormat="1" ht="30" customHeight="1">
      <c r="A105" s="250"/>
      <c r="C105" s="114" t="s">
        <v>19</v>
      </c>
      <c r="D105" s="115" t="s">
        <v>192</v>
      </c>
      <c r="E105" s="112" t="s">
        <v>3</v>
      </c>
      <c r="F105" s="116">
        <v>12000</v>
      </c>
      <c r="G105" s="116">
        <v>12000</v>
      </c>
      <c r="H105" s="282">
        <v>12000</v>
      </c>
      <c r="I105" s="282"/>
      <c r="J105" s="315">
        <f t="shared" si="4"/>
        <v>100</v>
      </c>
      <c r="K105" s="117"/>
      <c r="L105" s="118"/>
    </row>
    <row r="106" spans="1:12" s="23" customFormat="1" ht="18" customHeight="1">
      <c r="A106" s="242"/>
      <c r="D106" s="119" t="s">
        <v>31</v>
      </c>
      <c r="E106" s="120"/>
      <c r="F106" s="69">
        <f>SUM(F107:F117)</f>
        <v>425859</v>
      </c>
      <c r="G106" s="69">
        <f>SUM(G107:G117)</f>
        <v>373184</v>
      </c>
      <c r="H106" s="69">
        <f>SUM(H107:H117)</f>
        <v>123601.12</v>
      </c>
      <c r="I106" s="69">
        <f>SUM(I107:I117)</f>
        <v>106811.12</v>
      </c>
      <c r="J106" s="321">
        <f t="shared" si="4"/>
        <v>33.1</v>
      </c>
      <c r="K106" s="44"/>
      <c r="L106" s="75"/>
    </row>
    <row r="107" spans="1:11" ht="16.5" customHeight="1">
      <c r="A107" s="242"/>
      <c r="C107" s="23" t="s">
        <v>19</v>
      </c>
      <c r="D107" s="41" t="s">
        <v>193</v>
      </c>
      <c r="E107" s="65" t="s">
        <v>3</v>
      </c>
      <c r="F107" s="43">
        <v>6500</v>
      </c>
      <c r="G107" s="43">
        <v>6500</v>
      </c>
      <c r="H107" s="259">
        <v>6500</v>
      </c>
      <c r="I107" s="259"/>
      <c r="J107" s="314">
        <f t="shared" si="4"/>
        <v>100</v>
      </c>
      <c r="K107" s="44"/>
    </row>
    <row r="108" spans="1:11" ht="15">
      <c r="A108" s="242"/>
      <c r="C108" s="23" t="s">
        <v>19</v>
      </c>
      <c r="D108" s="121" t="s">
        <v>194</v>
      </c>
      <c r="E108" s="47" t="s">
        <v>1</v>
      </c>
      <c r="F108" s="66">
        <v>16713</v>
      </c>
      <c r="G108" s="66">
        <v>16713</v>
      </c>
      <c r="H108" s="260">
        <v>4006.15</v>
      </c>
      <c r="I108" s="260">
        <v>4006.15</v>
      </c>
      <c r="J108" s="315">
        <f t="shared" si="4"/>
        <v>24</v>
      </c>
      <c r="K108" s="44"/>
    </row>
    <row r="109" spans="1:11" ht="15">
      <c r="A109" s="242"/>
      <c r="C109" s="23" t="s">
        <v>19</v>
      </c>
      <c r="D109" s="122" t="s">
        <v>194</v>
      </c>
      <c r="E109" s="123" t="s">
        <v>1</v>
      </c>
      <c r="F109" s="84">
        <v>124646</v>
      </c>
      <c r="G109" s="84">
        <v>124646</v>
      </c>
      <c r="H109" s="271"/>
      <c r="I109" s="271"/>
      <c r="J109" s="334">
        <f t="shared" si="4"/>
        <v>0</v>
      </c>
      <c r="K109" s="44"/>
    </row>
    <row r="110" spans="1:11" ht="15">
      <c r="A110" s="242"/>
      <c r="C110" s="23" t="s">
        <v>19</v>
      </c>
      <c r="D110" s="121" t="s">
        <v>195</v>
      </c>
      <c r="E110" s="47" t="s">
        <v>1</v>
      </c>
      <c r="F110" s="66">
        <v>45000</v>
      </c>
      <c r="G110" s="66">
        <f>45000-14000</f>
        <v>31000</v>
      </c>
      <c r="H110" s="260">
        <v>28857.97</v>
      </c>
      <c r="I110" s="260">
        <v>18567.97</v>
      </c>
      <c r="J110" s="315">
        <f t="shared" si="4"/>
        <v>93.1</v>
      </c>
      <c r="K110" s="44"/>
    </row>
    <row r="111" spans="1:11" ht="15">
      <c r="A111" s="242"/>
      <c r="C111" s="23" t="s">
        <v>19</v>
      </c>
      <c r="D111" s="121" t="s">
        <v>196</v>
      </c>
      <c r="E111" s="47" t="s">
        <v>1</v>
      </c>
      <c r="F111" s="66">
        <v>25000</v>
      </c>
      <c r="G111" s="66">
        <v>25000</v>
      </c>
      <c r="H111" s="260"/>
      <c r="I111" s="260"/>
      <c r="J111" s="315">
        <f t="shared" si="4"/>
        <v>0</v>
      </c>
      <c r="K111" s="44"/>
    </row>
    <row r="112" spans="1:11" ht="15">
      <c r="A112" s="242"/>
      <c r="C112" s="23" t="s">
        <v>19</v>
      </c>
      <c r="D112" s="121" t="s">
        <v>197</v>
      </c>
      <c r="E112" s="47" t="s">
        <v>1</v>
      </c>
      <c r="F112" s="66">
        <v>15000</v>
      </c>
      <c r="G112" s="66">
        <v>15000</v>
      </c>
      <c r="H112" s="260"/>
      <c r="I112" s="260"/>
      <c r="J112" s="315">
        <f t="shared" si="4"/>
        <v>0</v>
      </c>
      <c r="K112" s="44"/>
    </row>
    <row r="113" spans="1:11" ht="15">
      <c r="A113" s="242"/>
      <c r="C113" s="23" t="s">
        <v>19</v>
      </c>
      <c r="D113" s="121" t="s">
        <v>198</v>
      </c>
      <c r="E113" s="47" t="s">
        <v>1</v>
      </c>
      <c r="F113" s="66">
        <v>35000</v>
      </c>
      <c r="G113" s="66">
        <v>35000</v>
      </c>
      <c r="H113" s="260"/>
      <c r="I113" s="260"/>
      <c r="J113" s="315">
        <f t="shared" si="4"/>
        <v>0</v>
      </c>
      <c r="K113" s="44"/>
    </row>
    <row r="114" spans="1:11" ht="15">
      <c r="A114" s="242"/>
      <c r="C114" s="23" t="s">
        <v>19</v>
      </c>
      <c r="D114" s="121" t="s">
        <v>199</v>
      </c>
      <c r="E114" s="47" t="s">
        <v>1</v>
      </c>
      <c r="F114" s="66">
        <v>70000</v>
      </c>
      <c r="G114" s="66">
        <f>70000-46000</f>
        <v>24000</v>
      </c>
      <c r="H114" s="260"/>
      <c r="I114" s="260"/>
      <c r="J114" s="315">
        <f t="shared" si="4"/>
        <v>0</v>
      </c>
      <c r="K114" s="44"/>
    </row>
    <row r="115" spans="1:11" ht="30">
      <c r="A115" s="242"/>
      <c r="C115" s="23" t="s">
        <v>19</v>
      </c>
      <c r="D115" s="121" t="s">
        <v>337</v>
      </c>
      <c r="E115" s="47" t="s">
        <v>3</v>
      </c>
      <c r="F115" s="66"/>
      <c r="G115" s="66">
        <v>7325</v>
      </c>
      <c r="H115" s="260">
        <v>7325</v>
      </c>
      <c r="I115" s="260">
        <v>7325</v>
      </c>
      <c r="J115" s="316">
        <f t="shared" si="4"/>
        <v>100</v>
      </c>
      <c r="K115" s="44"/>
    </row>
    <row r="116" spans="1:11" ht="15">
      <c r="A116" s="242"/>
      <c r="C116" s="23" t="s">
        <v>19</v>
      </c>
      <c r="D116" s="121" t="s">
        <v>200</v>
      </c>
      <c r="E116" s="47" t="s">
        <v>1</v>
      </c>
      <c r="F116" s="66">
        <v>15000</v>
      </c>
      <c r="G116" s="66">
        <v>15000</v>
      </c>
      <c r="H116" s="260">
        <v>1992</v>
      </c>
      <c r="I116" s="260">
        <v>1992</v>
      </c>
      <c r="J116" s="315">
        <f t="shared" si="4"/>
        <v>13.3</v>
      </c>
      <c r="K116" s="44"/>
    </row>
    <row r="117" spans="1:12" s="40" customFormat="1" ht="29.25" customHeight="1">
      <c r="A117" s="241"/>
      <c r="B117" s="32"/>
      <c r="C117" s="23" t="s">
        <v>19</v>
      </c>
      <c r="D117" s="124" t="s">
        <v>201</v>
      </c>
      <c r="E117" s="125" t="s">
        <v>1</v>
      </c>
      <c r="F117" s="126">
        <v>73000</v>
      </c>
      <c r="G117" s="126">
        <v>73000</v>
      </c>
      <c r="H117" s="283">
        <v>74920</v>
      </c>
      <c r="I117" s="283">
        <v>74920</v>
      </c>
      <c r="J117" s="315">
        <f t="shared" si="4"/>
        <v>102.6</v>
      </c>
      <c r="K117" s="38"/>
      <c r="L117" s="39"/>
    </row>
    <row r="118" spans="1:12" s="40" customFormat="1" ht="29.25" customHeight="1">
      <c r="A118" s="241"/>
      <c r="B118" s="32"/>
      <c r="C118" s="23"/>
      <c r="D118" s="115" t="s">
        <v>366</v>
      </c>
      <c r="E118" s="344"/>
      <c r="F118" s="166"/>
      <c r="G118" s="345">
        <f>SUM(G119,G120)</f>
        <v>37682</v>
      </c>
      <c r="H118" s="345">
        <f>SUM(H119,H120)</f>
        <v>32349.6</v>
      </c>
      <c r="I118" s="345">
        <f>SUM(I119,I120)</f>
        <v>32349.6</v>
      </c>
      <c r="J118" s="333">
        <f t="shared" si="4"/>
        <v>85.8</v>
      </c>
      <c r="K118" s="38"/>
      <c r="L118" s="39"/>
    </row>
    <row r="119" spans="1:12" s="32" customFormat="1" ht="30.75" customHeight="1">
      <c r="A119" s="243"/>
      <c r="B119" s="48"/>
      <c r="C119" s="32" t="s">
        <v>19</v>
      </c>
      <c r="D119" s="346" t="s">
        <v>367</v>
      </c>
      <c r="E119" s="347" t="s">
        <v>1</v>
      </c>
      <c r="F119" s="127">
        <v>37682</v>
      </c>
      <c r="G119" s="348">
        <v>37682</v>
      </c>
      <c r="H119" s="349">
        <v>32180.8</v>
      </c>
      <c r="I119" s="349">
        <v>32180.8</v>
      </c>
      <c r="J119" s="331">
        <f t="shared" si="4"/>
        <v>85.4</v>
      </c>
      <c r="K119" s="52"/>
      <c r="L119" s="110"/>
    </row>
    <row r="120" spans="1:12" s="32" customFormat="1" ht="30.75" customHeight="1">
      <c r="A120" s="241"/>
      <c r="C120" s="48" t="s">
        <v>19</v>
      </c>
      <c r="D120" s="350" t="s">
        <v>368</v>
      </c>
      <c r="E120" s="351" t="s">
        <v>1</v>
      </c>
      <c r="F120" s="352"/>
      <c r="G120" s="353"/>
      <c r="H120" s="354">
        <v>168.8</v>
      </c>
      <c r="I120" s="354">
        <v>168.8</v>
      </c>
      <c r="J120" s="355"/>
      <c r="K120" s="38"/>
      <c r="L120" s="110"/>
    </row>
    <row r="121" spans="1:12" s="32" customFormat="1" ht="24" customHeight="1">
      <c r="A121" s="244"/>
      <c r="B121" s="33"/>
      <c r="C121" s="33"/>
      <c r="D121" s="56" t="s">
        <v>202</v>
      </c>
      <c r="E121" s="57"/>
      <c r="F121" s="58">
        <f>SUM(F122,F131,F140)</f>
        <v>674000</v>
      </c>
      <c r="G121" s="58">
        <f>SUM(G122,G131,G140)</f>
        <v>844698</v>
      </c>
      <c r="H121" s="58">
        <f>SUM(H122,H131,H140)</f>
        <v>173905.17</v>
      </c>
      <c r="I121" s="58">
        <f>SUM(I122,I131,I140)</f>
        <v>31977.640000000003</v>
      </c>
      <c r="J121" s="321">
        <f t="shared" si="4"/>
        <v>20.6</v>
      </c>
      <c r="K121" s="59"/>
      <c r="L121" s="110"/>
    </row>
    <row r="122" spans="1:12" s="23" customFormat="1" ht="17.25" customHeight="1">
      <c r="A122" s="242"/>
      <c r="D122" s="128" t="s">
        <v>32</v>
      </c>
      <c r="E122" s="88"/>
      <c r="F122" s="62">
        <f>SUM(F123:F124)</f>
        <v>340000</v>
      </c>
      <c r="G122" s="62">
        <f>SUM(G123:G124)</f>
        <v>445000</v>
      </c>
      <c r="H122" s="62">
        <f>SUM(H123:H124)</f>
        <v>86143.44</v>
      </c>
      <c r="I122" s="62">
        <f>SUM(I123:I124)</f>
        <v>1640</v>
      </c>
      <c r="J122" s="319">
        <f t="shared" si="4"/>
        <v>19.4</v>
      </c>
      <c r="K122" s="44"/>
      <c r="L122" s="75"/>
    </row>
    <row r="123" spans="1:16" ht="16.5" customHeight="1">
      <c r="A123" s="242"/>
      <c r="C123" s="23" t="s">
        <v>16</v>
      </c>
      <c r="D123" s="100" t="s">
        <v>33</v>
      </c>
      <c r="E123" s="74" t="s">
        <v>1</v>
      </c>
      <c r="F123" s="43">
        <v>60000</v>
      </c>
      <c r="G123" s="43">
        <f>60000+75000</f>
        <v>135000</v>
      </c>
      <c r="H123" s="259">
        <v>19596.86</v>
      </c>
      <c r="I123" s="259"/>
      <c r="J123" s="314">
        <f t="shared" si="4"/>
        <v>14.5</v>
      </c>
      <c r="K123" s="44"/>
      <c r="M123" s="224"/>
      <c r="N123" s="224"/>
      <c r="O123" s="224"/>
      <c r="P123" s="224"/>
    </row>
    <row r="124" spans="1:11" ht="15">
      <c r="A124" s="242"/>
      <c r="C124" s="23" t="s">
        <v>16</v>
      </c>
      <c r="D124" s="93" t="s">
        <v>203</v>
      </c>
      <c r="E124" s="76" t="s">
        <v>1</v>
      </c>
      <c r="F124" s="129">
        <v>280000</v>
      </c>
      <c r="G124" s="129">
        <f>280000+30000</f>
        <v>310000</v>
      </c>
      <c r="H124" s="284">
        <v>66546.58</v>
      </c>
      <c r="I124" s="284">
        <v>1640</v>
      </c>
      <c r="J124" s="341">
        <f t="shared" si="4"/>
        <v>21.5</v>
      </c>
      <c r="K124" s="44"/>
    </row>
    <row r="125" spans="1:16" s="136" customFormat="1" ht="14.25">
      <c r="A125" s="251"/>
      <c r="B125" s="130"/>
      <c r="C125" s="130"/>
      <c r="D125" s="131" t="s">
        <v>204</v>
      </c>
      <c r="E125" s="132"/>
      <c r="F125" s="133"/>
      <c r="G125" s="133"/>
      <c r="H125" s="285"/>
      <c r="I125" s="285"/>
      <c r="J125" s="319"/>
      <c r="K125" s="134"/>
      <c r="L125" s="135"/>
      <c r="M125" s="252"/>
      <c r="N125" s="252"/>
      <c r="O125" s="252"/>
      <c r="P125" s="252"/>
    </row>
    <row r="126" spans="1:12" s="136" customFormat="1" ht="14.25">
      <c r="A126" s="251"/>
      <c r="B126" s="130"/>
      <c r="C126" s="130"/>
      <c r="D126" s="131" t="s">
        <v>205</v>
      </c>
      <c r="E126" s="132"/>
      <c r="F126" s="133"/>
      <c r="G126" s="133"/>
      <c r="H126" s="285"/>
      <c r="I126" s="285"/>
      <c r="J126" s="319"/>
      <c r="K126" s="134"/>
      <c r="L126" s="135"/>
    </row>
    <row r="127" spans="1:12" s="136" customFormat="1" ht="14.25">
      <c r="A127" s="251"/>
      <c r="B127" s="130"/>
      <c r="C127" s="130"/>
      <c r="D127" s="131" t="s">
        <v>206</v>
      </c>
      <c r="E127" s="132"/>
      <c r="F127" s="133"/>
      <c r="G127" s="133"/>
      <c r="H127" s="285"/>
      <c r="I127" s="285"/>
      <c r="J127" s="319"/>
      <c r="K127" s="134"/>
      <c r="L127" s="135"/>
    </row>
    <row r="128" spans="1:12" s="136" customFormat="1" ht="14.25">
      <c r="A128" s="251"/>
      <c r="B128" s="130"/>
      <c r="C128" s="130"/>
      <c r="D128" s="131" t="s">
        <v>207</v>
      </c>
      <c r="E128" s="132"/>
      <c r="F128" s="133"/>
      <c r="G128" s="133"/>
      <c r="H128" s="285"/>
      <c r="I128" s="285"/>
      <c r="J128" s="319"/>
      <c r="K128" s="134"/>
      <c r="L128" s="135"/>
    </row>
    <row r="129" spans="1:12" s="136" customFormat="1" ht="14.25">
      <c r="A129" s="251"/>
      <c r="B129" s="130"/>
      <c r="C129" s="130"/>
      <c r="D129" s="131" t="s">
        <v>208</v>
      </c>
      <c r="E129" s="132"/>
      <c r="F129" s="133"/>
      <c r="G129" s="133"/>
      <c r="H129" s="285"/>
      <c r="I129" s="285"/>
      <c r="J129" s="319"/>
      <c r="K129" s="134"/>
      <c r="L129" s="135"/>
    </row>
    <row r="130" spans="1:11" ht="13.5" customHeight="1">
      <c r="A130" s="242"/>
      <c r="D130" s="131" t="s">
        <v>209</v>
      </c>
      <c r="E130" s="74"/>
      <c r="F130" s="43"/>
      <c r="G130" s="178"/>
      <c r="H130" s="259"/>
      <c r="I130" s="259"/>
      <c r="J130" s="326"/>
      <c r="K130" s="44"/>
    </row>
    <row r="131" spans="1:12" s="23" customFormat="1" ht="17.25" customHeight="1">
      <c r="A131" s="242"/>
      <c r="D131" s="91" t="s">
        <v>34</v>
      </c>
      <c r="E131" s="99"/>
      <c r="F131" s="69">
        <f>SUM(F132:F139)</f>
        <v>288000</v>
      </c>
      <c r="G131" s="69">
        <f>SUM(G132:G139)</f>
        <v>310500</v>
      </c>
      <c r="H131" s="69">
        <f>SUM(H132:H139)</f>
        <v>47824.69</v>
      </c>
      <c r="I131" s="69">
        <f>SUM(I132:I139)</f>
        <v>0</v>
      </c>
      <c r="J131" s="321">
        <f>ROUND(H131/G131*100,1)</f>
        <v>15.4</v>
      </c>
      <c r="K131" s="44"/>
      <c r="L131" s="75"/>
    </row>
    <row r="132" spans="1:11" ht="16.5" customHeight="1">
      <c r="A132" s="242"/>
      <c r="C132" s="23" t="s">
        <v>19</v>
      </c>
      <c r="D132" s="100" t="s">
        <v>210</v>
      </c>
      <c r="E132" s="74" t="s">
        <v>1</v>
      </c>
      <c r="F132" s="43">
        <v>96000</v>
      </c>
      <c r="G132" s="43">
        <v>96000</v>
      </c>
      <c r="H132" s="259">
        <v>45024</v>
      </c>
      <c r="I132" s="259"/>
      <c r="J132" s="314">
        <f>ROUND(H132/G132*100,1)</f>
        <v>46.9</v>
      </c>
      <c r="K132" s="44"/>
    </row>
    <row r="133" spans="1:11" ht="30">
      <c r="A133" s="242"/>
      <c r="C133" s="23" t="s">
        <v>19</v>
      </c>
      <c r="D133" s="80" t="s">
        <v>35</v>
      </c>
      <c r="E133" s="81" t="s">
        <v>1</v>
      </c>
      <c r="F133" s="66">
        <f>20000+35000</f>
        <v>55000</v>
      </c>
      <c r="G133" s="66">
        <f>20000+35000</f>
        <v>55000</v>
      </c>
      <c r="H133" s="260"/>
      <c r="I133" s="260"/>
      <c r="J133" s="321">
        <f>ROUND(H133/G133*100,1)</f>
        <v>0</v>
      </c>
      <c r="K133" s="44"/>
    </row>
    <row r="134" spans="1:11" ht="15">
      <c r="A134" s="242"/>
      <c r="C134" s="23" t="s">
        <v>19</v>
      </c>
      <c r="D134" s="80" t="s">
        <v>211</v>
      </c>
      <c r="E134" s="81" t="s">
        <v>1</v>
      </c>
      <c r="F134" s="66">
        <v>50000</v>
      </c>
      <c r="G134" s="66">
        <v>50000</v>
      </c>
      <c r="H134" s="260"/>
      <c r="I134" s="260"/>
      <c r="J134" s="321">
        <f>ROUND(H134/G134*100,1)</f>
        <v>0</v>
      </c>
      <c r="K134" s="44"/>
    </row>
    <row r="135" spans="1:11" ht="30">
      <c r="A135" s="242"/>
      <c r="C135" s="23" t="s">
        <v>19</v>
      </c>
      <c r="D135" s="80" t="s">
        <v>212</v>
      </c>
      <c r="E135" s="81" t="s">
        <v>1</v>
      </c>
      <c r="F135" s="66">
        <v>45000</v>
      </c>
      <c r="G135" s="66">
        <v>45000</v>
      </c>
      <c r="H135" s="260"/>
      <c r="I135" s="260"/>
      <c r="J135" s="333">
        <f aca="true" t="shared" si="5" ref="J135:J149">ROUND(H135/G135*100,1)</f>
        <v>0</v>
      </c>
      <c r="K135" s="44"/>
    </row>
    <row r="136" spans="1:11" ht="15">
      <c r="A136" s="242"/>
      <c r="C136" s="23" t="s">
        <v>19</v>
      </c>
      <c r="D136" s="80" t="s">
        <v>213</v>
      </c>
      <c r="E136" s="81" t="s">
        <v>1</v>
      </c>
      <c r="F136" s="66">
        <v>30000</v>
      </c>
      <c r="G136" s="66">
        <v>30000</v>
      </c>
      <c r="H136" s="260">
        <v>1573.69</v>
      </c>
      <c r="I136" s="260"/>
      <c r="J136" s="315">
        <f t="shared" si="5"/>
        <v>5.2</v>
      </c>
      <c r="K136" s="44"/>
    </row>
    <row r="137" spans="1:11" ht="15">
      <c r="A137" s="242"/>
      <c r="C137" s="23" t="s">
        <v>19</v>
      </c>
      <c r="D137" s="80" t="s">
        <v>338</v>
      </c>
      <c r="E137" s="81" t="s">
        <v>1</v>
      </c>
      <c r="F137" s="66"/>
      <c r="G137" s="66">
        <v>10000</v>
      </c>
      <c r="H137" s="260"/>
      <c r="I137" s="260"/>
      <c r="J137" s="333">
        <f t="shared" si="5"/>
        <v>0</v>
      </c>
      <c r="K137" s="44"/>
    </row>
    <row r="138" spans="1:11" ht="30">
      <c r="A138" s="242"/>
      <c r="C138" s="23" t="s">
        <v>19</v>
      </c>
      <c r="D138" s="80" t="s">
        <v>339</v>
      </c>
      <c r="E138" s="81" t="s">
        <v>1</v>
      </c>
      <c r="F138" s="66"/>
      <c r="G138" s="66">
        <v>12500</v>
      </c>
      <c r="H138" s="260">
        <v>1227</v>
      </c>
      <c r="I138" s="260"/>
      <c r="J138" s="316">
        <f t="shared" si="5"/>
        <v>9.8</v>
      </c>
      <c r="K138" s="44"/>
    </row>
    <row r="139" spans="1:12" s="40" customFormat="1" ht="24" customHeight="1">
      <c r="A139" s="241"/>
      <c r="B139" s="32"/>
      <c r="C139" s="23" t="s">
        <v>19</v>
      </c>
      <c r="D139" s="137" t="s">
        <v>214</v>
      </c>
      <c r="E139" s="138" t="s">
        <v>1</v>
      </c>
      <c r="F139" s="126">
        <v>12000</v>
      </c>
      <c r="G139" s="126">
        <v>12000</v>
      </c>
      <c r="H139" s="283"/>
      <c r="I139" s="283"/>
      <c r="J139" s="333">
        <f t="shared" si="5"/>
        <v>0</v>
      </c>
      <c r="K139" s="38"/>
      <c r="L139" s="39"/>
    </row>
    <row r="140" spans="1:12" s="23" customFormat="1" ht="17.25" customHeight="1">
      <c r="A140" s="242"/>
      <c r="D140" s="91" t="s">
        <v>36</v>
      </c>
      <c r="E140" s="76"/>
      <c r="F140" s="69">
        <f>SUM(F141:F148)</f>
        <v>46000</v>
      </c>
      <c r="G140" s="69">
        <f>SUM(G141:G148)</f>
        <v>89198</v>
      </c>
      <c r="H140" s="69">
        <f>SUM(H141:H148)</f>
        <v>39937.04</v>
      </c>
      <c r="I140" s="69">
        <f>SUM(I141:I148)</f>
        <v>30337.640000000003</v>
      </c>
      <c r="J140" s="321">
        <f t="shared" si="5"/>
        <v>44.8</v>
      </c>
      <c r="K140" s="44"/>
      <c r="L140" s="75"/>
    </row>
    <row r="141" spans="1:11" ht="36.75" customHeight="1">
      <c r="A141" s="242"/>
      <c r="C141" s="23" t="s">
        <v>19</v>
      </c>
      <c r="D141" s="100" t="s">
        <v>215</v>
      </c>
      <c r="E141" s="74" t="s">
        <v>1</v>
      </c>
      <c r="F141" s="43">
        <v>25000</v>
      </c>
      <c r="G141" s="43">
        <v>25000</v>
      </c>
      <c r="H141" s="259">
        <v>5184</v>
      </c>
      <c r="I141" s="259">
        <v>5184</v>
      </c>
      <c r="J141" s="356">
        <f t="shared" si="5"/>
        <v>20.7</v>
      </c>
      <c r="K141" s="44"/>
    </row>
    <row r="142" spans="1:11" ht="16.5" customHeight="1">
      <c r="A142" s="242"/>
      <c r="C142" s="23" t="s">
        <v>19</v>
      </c>
      <c r="D142" s="100" t="s">
        <v>299</v>
      </c>
      <c r="E142" s="74" t="s">
        <v>1</v>
      </c>
      <c r="F142" s="43"/>
      <c r="G142" s="43">
        <v>10992</v>
      </c>
      <c r="H142" s="259">
        <v>10992</v>
      </c>
      <c r="I142" s="259">
        <v>10992</v>
      </c>
      <c r="J142" s="314">
        <f t="shared" si="5"/>
        <v>100</v>
      </c>
      <c r="K142" s="44"/>
    </row>
    <row r="143" spans="1:11" ht="16.5" customHeight="1">
      <c r="A143" s="242"/>
      <c r="C143" s="23" t="s">
        <v>19</v>
      </c>
      <c r="D143" s="100" t="s">
        <v>340</v>
      </c>
      <c r="E143" s="74" t="s">
        <v>1</v>
      </c>
      <c r="F143" s="43"/>
      <c r="G143" s="43">
        <v>25000</v>
      </c>
      <c r="H143" s="259"/>
      <c r="I143" s="259"/>
      <c r="J143" s="326">
        <f t="shared" si="5"/>
        <v>0</v>
      </c>
      <c r="K143" s="44"/>
    </row>
    <row r="144" spans="1:11" ht="16.5" customHeight="1">
      <c r="A144" s="242"/>
      <c r="C144" s="23" t="s">
        <v>19</v>
      </c>
      <c r="D144" s="100" t="s">
        <v>341</v>
      </c>
      <c r="E144" s="74" t="s">
        <v>1</v>
      </c>
      <c r="F144" s="43"/>
      <c r="G144" s="43">
        <v>7206</v>
      </c>
      <c r="H144" s="259">
        <v>6698.76</v>
      </c>
      <c r="I144" s="259">
        <v>6698.76</v>
      </c>
      <c r="J144" s="314">
        <f t="shared" si="5"/>
        <v>93</v>
      </c>
      <c r="K144" s="44"/>
    </row>
    <row r="145" spans="1:11" ht="15">
      <c r="A145" s="242"/>
      <c r="C145" s="23" t="s">
        <v>19</v>
      </c>
      <c r="D145" s="80" t="s">
        <v>216</v>
      </c>
      <c r="E145" s="81" t="s">
        <v>1</v>
      </c>
      <c r="F145" s="66">
        <v>6500</v>
      </c>
      <c r="G145" s="66">
        <v>6500</v>
      </c>
      <c r="H145" s="260">
        <v>6479.4</v>
      </c>
      <c r="I145" s="260"/>
      <c r="J145" s="315">
        <f t="shared" si="5"/>
        <v>99.7</v>
      </c>
      <c r="K145" s="44"/>
    </row>
    <row r="146" spans="1:11" ht="30">
      <c r="A146" s="242"/>
      <c r="C146" s="23" t="s">
        <v>19</v>
      </c>
      <c r="D146" s="80" t="s">
        <v>217</v>
      </c>
      <c r="E146" s="81" t="s">
        <v>1</v>
      </c>
      <c r="F146" s="66">
        <v>5500</v>
      </c>
      <c r="G146" s="66">
        <v>5500</v>
      </c>
      <c r="H146" s="260">
        <v>3120</v>
      </c>
      <c r="I146" s="260"/>
      <c r="J146" s="316">
        <f t="shared" si="5"/>
        <v>56.7</v>
      </c>
      <c r="K146" s="44"/>
    </row>
    <row r="147" spans="1:11" ht="45">
      <c r="A147" s="242"/>
      <c r="C147" s="23" t="s">
        <v>19</v>
      </c>
      <c r="D147" s="80" t="s">
        <v>342</v>
      </c>
      <c r="E147" s="81" t="s">
        <v>1</v>
      </c>
      <c r="F147" s="66">
        <v>5000</v>
      </c>
      <c r="G147" s="66">
        <v>5000</v>
      </c>
      <c r="H147" s="260">
        <v>6662.88</v>
      </c>
      <c r="I147" s="260">
        <v>6662.88</v>
      </c>
      <c r="J147" s="316">
        <f t="shared" si="5"/>
        <v>133.3</v>
      </c>
      <c r="K147" s="44"/>
    </row>
    <row r="148" spans="1:11" ht="30">
      <c r="A148" s="253"/>
      <c r="B148" s="105"/>
      <c r="C148" s="23" t="s">
        <v>19</v>
      </c>
      <c r="D148" s="106" t="s">
        <v>218</v>
      </c>
      <c r="E148" s="107" t="s">
        <v>1</v>
      </c>
      <c r="F148" s="108">
        <v>4000</v>
      </c>
      <c r="G148" s="108">
        <v>4000</v>
      </c>
      <c r="H148" s="281">
        <v>800</v>
      </c>
      <c r="I148" s="281">
        <v>800</v>
      </c>
      <c r="J148" s="357">
        <f t="shared" si="5"/>
        <v>20</v>
      </c>
      <c r="K148" s="109"/>
    </row>
    <row r="149" spans="1:12" s="103" customFormat="1" ht="20.25" customHeight="1">
      <c r="A149" s="254"/>
      <c r="B149" s="139"/>
      <c r="C149" s="139"/>
      <c r="D149" s="140" t="s">
        <v>219</v>
      </c>
      <c r="E149" s="141" t="s">
        <v>1</v>
      </c>
      <c r="F149" s="142">
        <v>10000</v>
      </c>
      <c r="G149" s="142">
        <v>10000</v>
      </c>
      <c r="H149" s="286"/>
      <c r="I149" s="286"/>
      <c r="J149" s="313">
        <f t="shared" si="5"/>
        <v>0</v>
      </c>
      <c r="K149" s="143"/>
      <c r="L149" s="102"/>
    </row>
    <row r="150" spans="1:14" s="40" customFormat="1" ht="45">
      <c r="A150" s="243"/>
      <c r="B150" s="48"/>
      <c r="C150" s="48" t="s">
        <v>16</v>
      </c>
      <c r="D150" s="144" t="s">
        <v>220</v>
      </c>
      <c r="E150" s="145"/>
      <c r="F150" s="146"/>
      <c r="G150" s="146"/>
      <c r="H150" s="287"/>
      <c r="I150" s="287"/>
      <c r="J150" s="358"/>
      <c r="K150" s="52"/>
      <c r="L150" s="39"/>
      <c r="N150" s="40" t="s">
        <v>221</v>
      </c>
    </row>
    <row r="151" spans="1:14" s="32" customFormat="1" ht="24" customHeight="1">
      <c r="A151" s="244"/>
      <c r="B151" s="33"/>
      <c r="C151" s="33"/>
      <c r="D151" s="56" t="s">
        <v>222</v>
      </c>
      <c r="E151" s="57"/>
      <c r="F151" s="58">
        <f>SUM(F152,F167,F173,F176,F179,F182,F186,F197,F198)</f>
        <v>1861535</v>
      </c>
      <c r="G151" s="58">
        <f>SUM(G152,G167,G173,G176,G179,G182,G186,G197,G198,G195)</f>
        <v>1997036</v>
      </c>
      <c r="H151" s="58">
        <f>SUM(H152,H167,H173,H176,H179,H182,H186,H197,H198,H195)</f>
        <v>1180510.63</v>
      </c>
      <c r="I151" s="58">
        <f>SUM(I152,I167,I173,I176,I179,I182,I186,I197,I198,I195)</f>
        <v>154931.1</v>
      </c>
      <c r="J151" s="319">
        <f aca="true" t="shared" si="6" ref="J151:J175">ROUND(H151/G151*100,1)</f>
        <v>59.1</v>
      </c>
      <c r="K151" s="59"/>
      <c r="L151" s="110"/>
      <c r="N151" s="359"/>
    </row>
    <row r="152" spans="1:14" s="23" customFormat="1" ht="17.25" customHeight="1">
      <c r="A152" s="242"/>
      <c r="D152" s="128" t="s">
        <v>37</v>
      </c>
      <c r="E152" s="88"/>
      <c r="F152" s="62">
        <f>SUM(F153:F161,F164)</f>
        <v>914795</v>
      </c>
      <c r="G152" s="62">
        <f>SUM(G153:G161,G164)</f>
        <v>924795</v>
      </c>
      <c r="H152" s="62">
        <f>SUM(H153:H161,H164)</f>
        <v>657670.09</v>
      </c>
      <c r="I152" s="62">
        <f>SUM(I153:I161,I164)</f>
        <v>12570.2</v>
      </c>
      <c r="J152" s="319">
        <f t="shared" si="6"/>
        <v>71.1</v>
      </c>
      <c r="K152" s="44"/>
      <c r="L152" s="269"/>
      <c r="M152" s="269"/>
      <c r="N152" s="269"/>
    </row>
    <row r="153" spans="1:11" ht="16.5" customHeight="1">
      <c r="A153" s="242"/>
      <c r="C153" s="23" t="s">
        <v>16</v>
      </c>
      <c r="D153" s="100" t="s">
        <v>38</v>
      </c>
      <c r="E153" s="74" t="s">
        <v>1</v>
      </c>
      <c r="F153" s="43">
        <v>560000</v>
      </c>
      <c r="G153" s="43">
        <v>560000</v>
      </c>
      <c r="H153" s="259">
        <v>521110.25</v>
      </c>
      <c r="I153" s="259"/>
      <c r="J153" s="314">
        <f t="shared" si="6"/>
        <v>93.1</v>
      </c>
      <c r="K153" s="44"/>
    </row>
    <row r="154" spans="1:11" ht="15">
      <c r="A154" s="242"/>
      <c r="C154" s="23" t="s">
        <v>16</v>
      </c>
      <c r="D154" s="80" t="s">
        <v>223</v>
      </c>
      <c r="E154" s="81" t="s">
        <v>1</v>
      </c>
      <c r="F154" s="66">
        <v>100000</v>
      </c>
      <c r="G154" s="66">
        <v>100000</v>
      </c>
      <c r="H154" s="260">
        <v>45764.84</v>
      </c>
      <c r="I154" s="260">
        <v>12570.2</v>
      </c>
      <c r="J154" s="315">
        <f t="shared" si="6"/>
        <v>45.8</v>
      </c>
      <c r="K154" s="44"/>
    </row>
    <row r="155" spans="1:11" ht="15.75" customHeight="1">
      <c r="A155" s="242"/>
      <c r="C155" s="23" t="s">
        <v>16</v>
      </c>
      <c r="D155" s="80" t="s">
        <v>224</v>
      </c>
      <c r="E155" s="81" t="s">
        <v>1</v>
      </c>
      <c r="F155" s="66">
        <v>85000</v>
      </c>
      <c r="G155" s="66">
        <v>85000</v>
      </c>
      <c r="H155" s="260"/>
      <c r="I155" s="260"/>
      <c r="J155" s="333">
        <f t="shared" si="6"/>
        <v>0</v>
      </c>
      <c r="K155" s="44"/>
    </row>
    <row r="156" spans="1:11" ht="15.75" customHeight="1">
      <c r="A156" s="242"/>
      <c r="C156" s="23" t="s">
        <v>8</v>
      </c>
      <c r="D156" s="80" t="s">
        <v>225</v>
      </c>
      <c r="E156" s="81" t="s">
        <v>3</v>
      </c>
      <c r="F156" s="66">
        <v>48000</v>
      </c>
      <c r="G156" s="66">
        <v>48000</v>
      </c>
      <c r="H156" s="260">
        <v>48000</v>
      </c>
      <c r="I156" s="260"/>
      <c r="J156" s="315">
        <f t="shared" si="6"/>
        <v>100</v>
      </c>
      <c r="K156" s="44"/>
    </row>
    <row r="157" spans="1:11" ht="15.75" customHeight="1">
      <c r="A157" s="242"/>
      <c r="B157" s="23" t="s">
        <v>8</v>
      </c>
      <c r="D157" s="80" t="s">
        <v>226</v>
      </c>
      <c r="E157" s="81" t="s">
        <v>3</v>
      </c>
      <c r="F157" s="66">
        <v>48000</v>
      </c>
      <c r="G157" s="66">
        <v>48000</v>
      </c>
      <c r="H157" s="260"/>
      <c r="I157" s="260"/>
      <c r="J157" s="333">
        <f t="shared" si="6"/>
        <v>0</v>
      </c>
      <c r="K157" s="44"/>
    </row>
    <row r="158" spans="1:12" s="40" customFormat="1" ht="30">
      <c r="A158" s="241"/>
      <c r="B158" s="32"/>
      <c r="C158" s="32" t="s">
        <v>16</v>
      </c>
      <c r="D158" s="137" t="s">
        <v>227</v>
      </c>
      <c r="E158" s="138" t="s">
        <v>1</v>
      </c>
      <c r="F158" s="126">
        <v>30000</v>
      </c>
      <c r="G158" s="126">
        <v>30000</v>
      </c>
      <c r="H158" s="283"/>
      <c r="I158" s="283"/>
      <c r="J158" s="333">
        <f t="shared" si="6"/>
        <v>0</v>
      </c>
      <c r="K158" s="38"/>
      <c r="L158" s="39"/>
    </row>
    <row r="159" spans="1:12" s="40" customFormat="1" ht="30">
      <c r="A159" s="241"/>
      <c r="B159" s="32"/>
      <c r="C159" s="32" t="s">
        <v>12</v>
      </c>
      <c r="D159" s="137" t="s">
        <v>228</v>
      </c>
      <c r="E159" s="138" t="s">
        <v>3</v>
      </c>
      <c r="F159" s="126"/>
      <c r="G159" s="126">
        <v>10000</v>
      </c>
      <c r="H159" s="283">
        <v>10000</v>
      </c>
      <c r="I159" s="283"/>
      <c r="J159" s="315">
        <f t="shared" si="6"/>
        <v>100</v>
      </c>
      <c r="K159" s="38"/>
      <c r="L159" s="39"/>
    </row>
    <row r="160" spans="1:11" ht="15">
      <c r="A160" s="242"/>
      <c r="C160" s="23" t="s">
        <v>16</v>
      </c>
      <c r="D160" s="80" t="s">
        <v>229</v>
      </c>
      <c r="E160" s="81" t="s">
        <v>1</v>
      </c>
      <c r="F160" s="66">
        <v>5000</v>
      </c>
      <c r="G160" s="66">
        <v>5000</v>
      </c>
      <c r="H160" s="260"/>
      <c r="I160" s="260"/>
      <c r="J160" s="333">
        <f t="shared" si="6"/>
        <v>0</v>
      </c>
      <c r="K160" s="44"/>
    </row>
    <row r="161" spans="1:11" ht="16.5" customHeight="1">
      <c r="A161" s="242"/>
      <c r="D161" s="93" t="s">
        <v>230</v>
      </c>
      <c r="E161" s="76" t="s">
        <v>3</v>
      </c>
      <c r="F161" s="129">
        <f>SUM(F162:F163)</f>
        <v>11485</v>
      </c>
      <c r="G161" s="129">
        <f>SUM(G162:G163)</f>
        <v>11485</v>
      </c>
      <c r="H161" s="129">
        <f>SUM(H162:H163)</f>
        <v>5485</v>
      </c>
      <c r="I161" s="129"/>
      <c r="J161" s="341">
        <f t="shared" si="6"/>
        <v>47.8</v>
      </c>
      <c r="K161" s="44"/>
    </row>
    <row r="162" spans="1:12" s="136" customFormat="1" ht="16.5" customHeight="1">
      <c r="A162" s="251"/>
      <c r="B162" s="130"/>
      <c r="C162" s="130" t="s">
        <v>16</v>
      </c>
      <c r="D162" s="131" t="s">
        <v>231</v>
      </c>
      <c r="E162" s="147"/>
      <c r="F162" s="133">
        <v>6000</v>
      </c>
      <c r="G162" s="133">
        <v>6000</v>
      </c>
      <c r="H162" s="285"/>
      <c r="I162" s="285"/>
      <c r="J162" s="319">
        <f t="shared" si="6"/>
        <v>0</v>
      </c>
      <c r="K162" s="134"/>
      <c r="L162" s="135"/>
    </row>
    <row r="163" spans="1:12" s="136" customFormat="1" ht="15.75" customHeight="1">
      <c r="A163" s="251"/>
      <c r="B163" s="130"/>
      <c r="C163" s="130" t="s">
        <v>12</v>
      </c>
      <c r="D163" s="148" t="s">
        <v>232</v>
      </c>
      <c r="E163" s="149"/>
      <c r="F163" s="150">
        <v>5485</v>
      </c>
      <c r="G163" s="150">
        <v>5485</v>
      </c>
      <c r="H163" s="288">
        <v>5485</v>
      </c>
      <c r="I163" s="288"/>
      <c r="J163" s="314">
        <f t="shared" si="6"/>
        <v>100</v>
      </c>
      <c r="K163" s="134"/>
      <c r="L163" s="135"/>
    </row>
    <row r="164" spans="1:11" ht="16.5" customHeight="1">
      <c r="A164" s="242"/>
      <c r="C164" s="23" t="s">
        <v>12</v>
      </c>
      <c r="D164" s="93" t="s">
        <v>233</v>
      </c>
      <c r="E164" s="76" t="s">
        <v>3</v>
      </c>
      <c r="F164" s="129">
        <f>SUM(F165:F166)</f>
        <v>27310</v>
      </c>
      <c r="G164" s="129">
        <f>SUM(G165:G166)</f>
        <v>27310</v>
      </c>
      <c r="H164" s="129">
        <f>SUM(H165:H166)</f>
        <v>27310</v>
      </c>
      <c r="I164" s="284"/>
      <c r="J164" s="341">
        <f t="shared" si="6"/>
        <v>100</v>
      </c>
      <c r="K164" s="44"/>
    </row>
    <row r="165" spans="1:12" s="136" customFormat="1" ht="16.5" customHeight="1">
      <c r="A165" s="251"/>
      <c r="B165" s="130"/>
      <c r="C165" s="130"/>
      <c r="D165" s="131" t="s">
        <v>39</v>
      </c>
      <c r="E165" s="147"/>
      <c r="F165" s="133">
        <v>22250</v>
      </c>
      <c r="G165" s="133">
        <v>22250</v>
      </c>
      <c r="H165" s="285">
        <v>22250</v>
      </c>
      <c r="I165" s="285"/>
      <c r="J165" s="323">
        <f t="shared" si="6"/>
        <v>100</v>
      </c>
      <c r="K165" s="134"/>
      <c r="L165" s="135"/>
    </row>
    <row r="166" spans="1:12" s="157" customFormat="1" ht="27" customHeight="1">
      <c r="A166" s="255"/>
      <c r="B166" s="151"/>
      <c r="C166" s="151"/>
      <c r="D166" s="152" t="s">
        <v>234</v>
      </c>
      <c r="E166" s="153"/>
      <c r="F166" s="154">
        <v>5060</v>
      </c>
      <c r="G166" s="154">
        <v>5060</v>
      </c>
      <c r="H166" s="289">
        <v>5060</v>
      </c>
      <c r="I166" s="289"/>
      <c r="J166" s="314">
        <f t="shared" si="6"/>
        <v>100</v>
      </c>
      <c r="K166" s="155"/>
      <c r="L166" s="156"/>
    </row>
    <row r="167" spans="1:12" s="23" customFormat="1" ht="31.5" customHeight="1">
      <c r="A167" s="242"/>
      <c r="D167" s="93" t="s">
        <v>235</v>
      </c>
      <c r="E167" s="76"/>
      <c r="F167" s="69">
        <f>SUM(F168:F172)</f>
        <v>168000</v>
      </c>
      <c r="G167" s="69">
        <f>SUM(G168:G172)</f>
        <v>227900</v>
      </c>
      <c r="H167" s="69">
        <f>SUM(H168:H172)</f>
        <v>148400</v>
      </c>
      <c r="I167" s="69">
        <f>SUM(I168:I172)</f>
        <v>78000</v>
      </c>
      <c r="J167" s="341">
        <f t="shared" si="6"/>
        <v>65.1</v>
      </c>
      <c r="K167" s="44"/>
      <c r="L167" s="75"/>
    </row>
    <row r="168" spans="1:11" ht="20.25" customHeight="1">
      <c r="A168" s="242"/>
      <c r="C168" s="23" t="s">
        <v>16</v>
      </c>
      <c r="D168" s="158" t="s">
        <v>236</v>
      </c>
      <c r="E168" s="159" t="s">
        <v>3</v>
      </c>
      <c r="F168" s="178">
        <v>69600</v>
      </c>
      <c r="G168" s="178">
        <f>69600+24900</f>
        <v>94500</v>
      </c>
      <c r="H168" s="261">
        <v>68000</v>
      </c>
      <c r="I168" s="261">
        <v>68000</v>
      </c>
      <c r="J168" s="323">
        <f t="shared" si="6"/>
        <v>72</v>
      </c>
      <c r="K168" s="44"/>
    </row>
    <row r="169" spans="1:11" ht="15" customHeight="1">
      <c r="A169" s="242"/>
      <c r="C169" s="23" t="s">
        <v>16</v>
      </c>
      <c r="D169" s="85" t="s">
        <v>237</v>
      </c>
      <c r="E169" s="360" t="s">
        <v>3</v>
      </c>
      <c r="F169" s="66">
        <v>28000</v>
      </c>
      <c r="G169" s="66">
        <f>28000+15000</f>
        <v>43000</v>
      </c>
      <c r="H169" s="260"/>
      <c r="I169" s="260"/>
      <c r="J169" s="333">
        <f t="shared" si="6"/>
        <v>0</v>
      </c>
      <c r="K169" s="44"/>
    </row>
    <row r="170" spans="1:11" ht="15" customHeight="1">
      <c r="A170" s="242"/>
      <c r="C170" s="23" t="s">
        <v>12</v>
      </c>
      <c r="D170" s="85" t="s">
        <v>343</v>
      </c>
      <c r="E170" s="360" t="s">
        <v>3</v>
      </c>
      <c r="F170" s="66"/>
      <c r="G170" s="66">
        <v>20000</v>
      </c>
      <c r="H170" s="260">
        <v>10000</v>
      </c>
      <c r="I170" s="260">
        <v>10000</v>
      </c>
      <c r="J170" s="315">
        <f t="shared" si="6"/>
        <v>50</v>
      </c>
      <c r="K170" s="44"/>
    </row>
    <row r="171" spans="1:11" ht="15" customHeight="1">
      <c r="A171" s="242"/>
      <c r="C171" s="23" t="s">
        <v>12</v>
      </c>
      <c r="D171" s="85" t="s">
        <v>238</v>
      </c>
      <c r="E171" s="360" t="s">
        <v>3</v>
      </c>
      <c r="F171" s="66">
        <v>27650</v>
      </c>
      <c r="G171" s="66">
        <v>27650</v>
      </c>
      <c r="H171" s="260">
        <v>27650</v>
      </c>
      <c r="I171" s="260"/>
      <c r="J171" s="315">
        <f t="shared" si="6"/>
        <v>100</v>
      </c>
      <c r="K171" s="44"/>
    </row>
    <row r="172" spans="1:12" s="40" customFormat="1" ht="27.75" customHeight="1">
      <c r="A172" s="241"/>
      <c r="B172" s="32"/>
      <c r="C172" s="32" t="s">
        <v>12</v>
      </c>
      <c r="D172" s="160" t="s">
        <v>239</v>
      </c>
      <c r="E172" s="159" t="s">
        <v>3</v>
      </c>
      <c r="F172" s="290">
        <f>20000+22750</f>
        <v>42750</v>
      </c>
      <c r="G172" s="290">
        <f>20000+22750</f>
        <v>42750</v>
      </c>
      <c r="H172" s="291">
        <v>42750</v>
      </c>
      <c r="I172" s="291"/>
      <c r="J172" s="314">
        <f t="shared" si="6"/>
        <v>100</v>
      </c>
      <c r="K172" s="38"/>
      <c r="L172" s="39"/>
    </row>
    <row r="173" spans="1:12" s="23" customFormat="1" ht="17.25" customHeight="1">
      <c r="A173" s="242"/>
      <c r="D173" s="93" t="s">
        <v>40</v>
      </c>
      <c r="E173" s="76"/>
      <c r="F173" s="69">
        <f>SUM(F174:F175)</f>
        <v>35000</v>
      </c>
      <c r="G173" s="69">
        <f>SUM(G174:G175)</f>
        <v>35000</v>
      </c>
      <c r="H173" s="69">
        <f>SUM(H174:H175)</f>
        <v>6420</v>
      </c>
      <c r="I173" s="69">
        <f>SUM(I174:I175)</f>
        <v>6420</v>
      </c>
      <c r="J173" s="321">
        <f t="shared" si="6"/>
        <v>18.3</v>
      </c>
      <c r="K173" s="44"/>
      <c r="L173" s="75"/>
    </row>
    <row r="174" spans="1:11" ht="16.5" customHeight="1">
      <c r="A174" s="242"/>
      <c r="C174" s="23" t="s">
        <v>16</v>
      </c>
      <c r="D174" s="100" t="s">
        <v>240</v>
      </c>
      <c r="E174" s="74" t="s">
        <v>1</v>
      </c>
      <c r="F174" s="43">
        <v>25000</v>
      </c>
      <c r="G174" s="43">
        <v>25000</v>
      </c>
      <c r="H174" s="259"/>
      <c r="I174" s="259"/>
      <c r="J174" s="326">
        <f t="shared" si="6"/>
        <v>0</v>
      </c>
      <c r="K174" s="44"/>
    </row>
    <row r="175" spans="1:12" s="40" customFormat="1" ht="16.5" customHeight="1">
      <c r="A175" s="241"/>
      <c r="B175" s="32"/>
      <c r="C175" s="32" t="s">
        <v>12</v>
      </c>
      <c r="D175" s="161" t="s">
        <v>41</v>
      </c>
      <c r="E175" s="138" t="s">
        <v>1</v>
      </c>
      <c r="F175" s="126">
        <v>10000</v>
      </c>
      <c r="G175" s="126">
        <v>10000</v>
      </c>
      <c r="H175" s="283">
        <v>6420</v>
      </c>
      <c r="I175" s="283">
        <v>6420</v>
      </c>
      <c r="J175" s="315">
        <f t="shared" si="6"/>
        <v>64.2</v>
      </c>
      <c r="K175" s="38"/>
      <c r="L175" s="39"/>
    </row>
    <row r="176" spans="1:12" s="23" customFormat="1" ht="17.25" customHeight="1">
      <c r="A176" s="242"/>
      <c r="D176" s="93" t="s">
        <v>241</v>
      </c>
      <c r="E176" s="76"/>
      <c r="F176" s="69">
        <f>SUM(F177:F178)</f>
        <v>135000</v>
      </c>
      <c r="G176" s="69">
        <f>SUM(G177:G178)</f>
        <v>135000</v>
      </c>
      <c r="H176" s="69">
        <f>SUM(H177:H178)</f>
        <v>66557.58</v>
      </c>
      <c r="I176" s="69">
        <f>SUM(I177:I178)</f>
        <v>36105.9</v>
      </c>
      <c r="J176" s="69">
        <f>SUM(J177:J178)</f>
        <v>60.5</v>
      </c>
      <c r="K176" s="44"/>
      <c r="L176" s="75"/>
    </row>
    <row r="177" spans="1:11" ht="16.5" customHeight="1">
      <c r="A177" s="242"/>
      <c r="C177" s="23" t="s">
        <v>16</v>
      </c>
      <c r="D177" s="100" t="s">
        <v>242</v>
      </c>
      <c r="E177" s="74" t="s">
        <v>1</v>
      </c>
      <c r="F177" s="43">
        <v>25000</v>
      </c>
      <c r="G177" s="43">
        <v>25000</v>
      </c>
      <c r="H177" s="259"/>
      <c r="I177" s="259"/>
      <c r="J177" s="326">
        <f aca="true" t="shared" si="7" ref="J177:J208">ROUND(H177/G177*100,1)</f>
        <v>0</v>
      </c>
      <c r="K177" s="44"/>
    </row>
    <row r="178" spans="1:11" ht="16.5" customHeight="1">
      <c r="A178" s="242"/>
      <c r="C178" s="23" t="s">
        <v>16</v>
      </c>
      <c r="D178" s="162" t="s">
        <v>243</v>
      </c>
      <c r="E178" s="81" t="s">
        <v>1</v>
      </c>
      <c r="F178" s="66">
        <v>110000</v>
      </c>
      <c r="G178" s="66">
        <v>110000</v>
      </c>
      <c r="H178" s="260">
        <f>66274.58+283</f>
        <v>66557.58</v>
      </c>
      <c r="I178" s="260">
        <f>35835.9+270</f>
        <v>36105.9</v>
      </c>
      <c r="J178" s="315">
        <f t="shared" si="7"/>
        <v>60.5</v>
      </c>
      <c r="K178" s="44"/>
    </row>
    <row r="179" spans="1:12" s="23" customFormat="1" ht="17.25" customHeight="1">
      <c r="A179" s="242"/>
      <c r="D179" s="91" t="s">
        <v>300</v>
      </c>
      <c r="E179" s="76"/>
      <c r="F179" s="69">
        <f>SUM(F180:F181)</f>
        <v>140000</v>
      </c>
      <c r="G179" s="69">
        <f>SUM(G180:G181)</f>
        <v>152000</v>
      </c>
      <c r="H179" s="69">
        <f>SUM(H180:H181)</f>
        <v>4740</v>
      </c>
      <c r="I179" s="69"/>
      <c r="J179" s="341">
        <f t="shared" si="7"/>
        <v>3.1</v>
      </c>
      <c r="K179" s="44"/>
      <c r="L179" s="75"/>
    </row>
    <row r="180" spans="1:11" ht="36" customHeight="1">
      <c r="A180" s="242"/>
      <c r="C180" s="23" t="s">
        <v>16</v>
      </c>
      <c r="D180" s="100" t="s">
        <v>244</v>
      </c>
      <c r="E180" s="74" t="s">
        <v>1</v>
      </c>
      <c r="F180" s="43">
        <f>15000+100000-15000</f>
        <v>100000</v>
      </c>
      <c r="G180" s="43">
        <f>15000+100000-15000+12000</f>
        <v>112000</v>
      </c>
      <c r="H180" s="259">
        <v>4320</v>
      </c>
      <c r="I180" s="259"/>
      <c r="J180" s="356">
        <f t="shared" si="7"/>
        <v>3.9</v>
      </c>
      <c r="K180" s="44"/>
    </row>
    <row r="181" spans="1:11" ht="30">
      <c r="A181" s="242"/>
      <c r="C181" s="23" t="s">
        <v>12</v>
      </c>
      <c r="D181" s="80" t="s">
        <v>245</v>
      </c>
      <c r="E181" s="81" t="s">
        <v>1</v>
      </c>
      <c r="F181" s="66">
        <v>40000</v>
      </c>
      <c r="G181" s="66">
        <v>40000</v>
      </c>
      <c r="H181" s="260">
        <v>420</v>
      </c>
      <c r="I181" s="260"/>
      <c r="J181" s="316">
        <f t="shared" si="7"/>
        <v>1.1</v>
      </c>
      <c r="K181" s="44"/>
    </row>
    <row r="182" spans="1:12" s="23" customFormat="1" ht="17.25" customHeight="1">
      <c r="A182" s="242"/>
      <c r="D182" s="91" t="s">
        <v>246</v>
      </c>
      <c r="E182" s="76"/>
      <c r="F182" s="69">
        <f>SUM(F183:F185)</f>
        <v>96740</v>
      </c>
      <c r="G182" s="69">
        <f>SUM(G183:G185)</f>
        <v>96740</v>
      </c>
      <c r="H182" s="69">
        <f>SUM(H183:H185)</f>
        <v>5034</v>
      </c>
      <c r="I182" s="69">
        <f>SUM(I183:I185)</f>
        <v>5034</v>
      </c>
      <c r="J182" s="341">
        <f t="shared" si="7"/>
        <v>5.2</v>
      </c>
      <c r="K182" s="44"/>
      <c r="L182" s="75"/>
    </row>
    <row r="183" spans="1:11" ht="45">
      <c r="A183" s="242"/>
      <c r="C183" s="23" t="s">
        <v>12</v>
      </c>
      <c r="D183" s="100" t="s">
        <v>247</v>
      </c>
      <c r="E183" s="74" t="s">
        <v>1</v>
      </c>
      <c r="F183" s="43">
        <v>11640</v>
      </c>
      <c r="G183" s="43">
        <v>11640</v>
      </c>
      <c r="H183" s="259"/>
      <c r="I183" s="259"/>
      <c r="J183" s="326">
        <f t="shared" si="7"/>
        <v>0</v>
      </c>
      <c r="K183" s="44"/>
    </row>
    <row r="184" spans="1:11" ht="30">
      <c r="A184" s="242"/>
      <c r="C184" s="23" t="s">
        <v>16</v>
      </c>
      <c r="D184" s="80" t="s">
        <v>248</v>
      </c>
      <c r="E184" s="81" t="s">
        <v>1</v>
      </c>
      <c r="F184" s="66">
        <v>80000</v>
      </c>
      <c r="G184" s="66">
        <v>80000</v>
      </c>
      <c r="H184" s="260"/>
      <c r="I184" s="260"/>
      <c r="J184" s="333">
        <f t="shared" si="7"/>
        <v>0</v>
      </c>
      <c r="K184" s="44"/>
    </row>
    <row r="185" spans="1:12" s="40" customFormat="1" ht="16.5" customHeight="1">
      <c r="A185" s="241"/>
      <c r="B185" s="32"/>
      <c r="C185" s="32" t="s">
        <v>16</v>
      </c>
      <c r="D185" s="137" t="s">
        <v>249</v>
      </c>
      <c r="E185" s="138" t="s">
        <v>1</v>
      </c>
      <c r="F185" s="126">
        <v>5100</v>
      </c>
      <c r="G185" s="126">
        <v>5100</v>
      </c>
      <c r="H185" s="283">
        <v>5034</v>
      </c>
      <c r="I185" s="283">
        <v>5034</v>
      </c>
      <c r="J185" s="315">
        <f t="shared" si="7"/>
        <v>98.7</v>
      </c>
      <c r="K185" s="38"/>
      <c r="L185" s="39"/>
    </row>
    <row r="186" spans="1:12" s="23" customFormat="1" ht="17.25" customHeight="1">
      <c r="A186" s="242"/>
      <c r="D186" s="91" t="s">
        <v>42</v>
      </c>
      <c r="E186" s="99"/>
      <c r="F186" s="69">
        <f>SUM(F187:F194)</f>
        <v>225000</v>
      </c>
      <c r="G186" s="69">
        <f>SUM(G187:G194)</f>
        <v>274401</v>
      </c>
      <c r="H186" s="69">
        <f>SUM(H187:H194)</f>
        <v>198034</v>
      </c>
      <c r="I186" s="69">
        <f>SUM(I187:I194)</f>
        <v>6801</v>
      </c>
      <c r="J186" s="321">
        <f t="shared" si="7"/>
        <v>72.2</v>
      </c>
      <c r="K186" s="44"/>
      <c r="L186" s="75"/>
    </row>
    <row r="187" spans="1:11" ht="16.5" customHeight="1">
      <c r="A187" s="242"/>
      <c r="C187" s="23" t="s">
        <v>16</v>
      </c>
      <c r="D187" s="163" t="s">
        <v>43</v>
      </c>
      <c r="E187" s="74" t="s">
        <v>3</v>
      </c>
      <c r="F187" s="43">
        <v>128000</v>
      </c>
      <c r="G187" s="43">
        <v>128000</v>
      </c>
      <c r="H187" s="259">
        <v>128000</v>
      </c>
      <c r="I187" s="259"/>
      <c r="J187" s="314">
        <f t="shared" si="7"/>
        <v>100</v>
      </c>
      <c r="K187" s="44"/>
    </row>
    <row r="188" spans="1:11" ht="15">
      <c r="A188" s="242"/>
      <c r="C188" s="23" t="s">
        <v>16</v>
      </c>
      <c r="D188" s="164" t="s">
        <v>250</v>
      </c>
      <c r="E188" s="81" t="s">
        <v>3</v>
      </c>
      <c r="F188" s="66">
        <v>10000</v>
      </c>
      <c r="G188" s="66">
        <v>10000</v>
      </c>
      <c r="H188" s="260"/>
      <c r="I188" s="260"/>
      <c r="J188" s="315">
        <f t="shared" si="7"/>
        <v>0</v>
      </c>
      <c r="K188" s="44"/>
    </row>
    <row r="189" spans="1:11" ht="15">
      <c r="A189" s="242"/>
      <c r="C189" s="23" t="s">
        <v>44</v>
      </c>
      <c r="D189" s="164" t="s">
        <v>45</v>
      </c>
      <c r="E189" s="81" t="s">
        <v>3</v>
      </c>
      <c r="F189" s="66">
        <v>30000</v>
      </c>
      <c r="G189" s="66">
        <v>30000</v>
      </c>
      <c r="H189" s="260">
        <v>30000</v>
      </c>
      <c r="I189" s="260"/>
      <c r="J189" s="315">
        <f t="shared" si="7"/>
        <v>100</v>
      </c>
      <c r="K189" s="44"/>
    </row>
    <row r="190" spans="1:11" ht="15">
      <c r="A190" s="242"/>
      <c r="C190" s="23" t="s">
        <v>19</v>
      </c>
      <c r="D190" s="164" t="s">
        <v>344</v>
      </c>
      <c r="E190" s="81" t="s">
        <v>1</v>
      </c>
      <c r="F190" s="66"/>
      <c r="G190" s="66">
        <v>11400</v>
      </c>
      <c r="H190" s="260"/>
      <c r="I190" s="260"/>
      <c r="J190" s="315">
        <f t="shared" si="7"/>
        <v>0</v>
      </c>
      <c r="K190" s="44"/>
    </row>
    <row r="191" spans="1:11" ht="15">
      <c r="A191" s="242"/>
      <c r="C191" s="23" t="s">
        <v>19</v>
      </c>
      <c r="D191" s="164" t="s">
        <v>345</v>
      </c>
      <c r="E191" s="81" t="s">
        <v>1</v>
      </c>
      <c r="F191" s="66"/>
      <c r="G191" s="66">
        <f>2136+4680</f>
        <v>6816</v>
      </c>
      <c r="H191" s="260">
        <v>1068</v>
      </c>
      <c r="I191" s="260"/>
      <c r="J191" s="315">
        <f t="shared" si="7"/>
        <v>15.7</v>
      </c>
      <c r="K191" s="44"/>
    </row>
    <row r="192" spans="1:11" ht="15">
      <c r="A192" s="242"/>
      <c r="C192" s="23" t="s">
        <v>19</v>
      </c>
      <c r="D192" s="292" t="s">
        <v>345</v>
      </c>
      <c r="E192" s="83" t="s">
        <v>1</v>
      </c>
      <c r="F192" s="66"/>
      <c r="G192" s="84">
        <v>31185</v>
      </c>
      <c r="H192" s="271">
        <v>5574</v>
      </c>
      <c r="I192" s="271">
        <v>5574</v>
      </c>
      <c r="J192" s="315">
        <f t="shared" si="7"/>
        <v>17.9</v>
      </c>
      <c r="K192" s="44"/>
    </row>
    <row r="193" spans="1:11" ht="15">
      <c r="A193" s="242"/>
      <c r="C193" s="23" t="s">
        <v>16</v>
      </c>
      <c r="D193" s="164" t="s">
        <v>46</v>
      </c>
      <c r="E193" s="81" t="s">
        <v>3</v>
      </c>
      <c r="F193" s="66">
        <v>25000</v>
      </c>
      <c r="G193" s="66">
        <v>25000</v>
      </c>
      <c r="H193" s="260">
        <v>25000</v>
      </c>
      <c r="I193" s="260"/>
      <c r="J193" s="315">
        <f t="shared" si="7"/>
        <v>100</v>
      </c>
      <c r="K193" s="44"/>
    </row>
    <row r="194" spans="1:12" s="40" customFormat="1" ht="16.5" customHeight="1">
      <c r="A194" s="241"/>
      <c r="B194" s="32"/>
      <c r="C194" s="32" t="s">
        <v>44</v>
      </c>
      <c r="D194" s="137" t="s">
        <v>47</v>
      </c>
      <c r="E194" s="138" t="s">
        <v>3</v>
      </c>
      <c r="F194" s="126">
        <v>32000</v>
      </c>
      <c r="G194" s="126">
        <v>32000</v>
      </c>
      <c r="H194" s="283">
        <v>8392</v>
      </c>
      <c r="I194" s="283">
        <v>1227</v>
      </c>
      <c r="J194" s="315">
        <f t="shared" si="7"/>
        <v>26.2</v>
      </c>
      <c r="K194" s="38"/>
      <c r="L194" s="39"/>
    </row>
    <row r="195" spans="1:12" s="40" customFormat="1" ht="16.5" customHeight="1">
      <c r="A195" s="241"/>
      <c r="B195" s="32"/>
      <c r="C195" s="32"/>
      <c r="D195" s="165" t="s">
        <v>251</v>
      </c>
      <c r="E195" s="138"/>
      <c r="F195" s="166"/>
      <c r="G195" s="116">
        <f>SUM(G196)</f>
        <v>4200</v>
      </c>
      <c r="H195" s="116">
        <f>SUM(H196)</f>
        <v>4200</v>
      </c>
      <c r="I195" s="293"/>
      <c r="J195" s="333">
        <f t="shared" si="7"/>
        <v>100</v>
      </c>
      <c r="K195" s="38"/>
      <c r="L195" s="39"/>
    </row>
    <row r="196" spans="1:12" s="40" customFormat="1" ht="31.5" customHeight="1">
      <c r="A196" s="241"/>
      <c r="B196" s="32" t="s">
        <v>12</v>
      </c>
      <c r="C196" s="32"/>
      <c r="D196" s="167" t="s">
        <v>252</v>
      </c>
      <c r="E196" s="138" t="s">
        <v>3</v>
      </c>
      <c r="F196" s="166"/>
      <c r="G196" s="166">
        <v>4200</v>
      </c>
      <c r="H196" s="293">
        <v>4200</v>
      </c>
      <c r="I196" s="293"/>
      <c r="J196" s="315">
        <f t="shared" si="7"/>
        <v>100</v>
      </c>
      <c r="K196" s="38"/>
      <c r="L196" s="39"/>
    </row>
    <row r="197" spans="1:12" s="32" customFormat="1" ht="46.5" customHeight="1">
      <c r="A197" s="241"/>
      <c r="C197" s="32" t="s">
        <v>12</v>
      </c>
      <c r="D197" s="167" t="s">
        <v>253</v>
      </c>
      <c r="E197" s="138" t="s">
        <v>3</v>
      </c>
      <c r="F197" s="116">
        <v>7000</v>
      </c>
      <c r="G197" s="116">
        <v>7000</v>
      </c>
      <c r="H197" s="282">
        <v>7000</v>
      </c>
      <c r="I197" s="282">
        <v>7000</v>
      </c>
      <c r="J197" s="315">
        <f t="shared" si="7"/>
        <v>100</v>
      </c>
      <c r="K197" s="38"/>
      <c r="L197" s="110"/>
    </row>
    <row r="198" spans="1:12" s="23" customFormat="1" ht="17.25" customHeight="1">
      <c r="A198" s="242"/>
      <c r="D198" s="91" t="s">
        <v>254</v>
      </c>
      <c r="E198" s="76"/>
      <c r="F198" s="69">
        <f>SUM(F199:F200)</f>
        <v>140000</v>
      </c>
      <c r="G198" s="69">
        <f>SUM(G199:G200)</f>
        <v>140000</v>
      </c>
      <c r="H198" s="69">
        <f>SUM(H199:H200)</f>
        <v>82454.95999999999</v>
      </c>
      <c r="I198" s="69">
        <f>SUM(I199:I200)</f>
        <v>3000</v>
      </c>
      <c r="J198" s="321">
        <f t="shared" si="7"/>
        <v>58.9</v>
      </c>
      <c r="K198" s="44"/>
      <c r="L198" s="75"/>
    </row>
    <row r="199" spans="1:11" ht="26.25" customHeight="1">
      <c r="A199" s="242"/>
      <c r="C199" s="23" t="s">
        <v>44</v>
      </c>
      <c r="D199" s="100" t="s">
        <v>255</v>
      </c>
      <c r="E199" s="74" t="s">
        <v>3</v>
      </c>
      <c r="F199" s="43">
        <v>70000</v>
      </c>
      <c r="G199" s="43">
        <v>70000</v>
      </c>
      <c r="H199" s="259">
        <v>70000</v>
      </c>
      <c r="I199" s="259"/>
      <c r="J199" s="356">
        <f t="shared" si="7"/>
        <v>100</v>
      </c>
      <c r="K199" s="44"/>
    </row>
    <row r="200" spans="1:12" s="40" customFormat="1" ht="29.25" customHeight="1">
      <c r="A200" s="243"/>
      <c r="B200" s="48"/>
      <c r="C200" s="48" t="s">
        <v>16</v>
      </c>
      <c r="D200" s="294" t="s">
        <v>301</v>
      </c>
      <c r="E200" s="168" t="s">
        <v>1</v>
      </c>
      <c r="F200" s="51">
        <v>70000</v>
      </c>
      <c r="G200" s="51">
        <v>70000</v>
      </c>
      <c r="H200" s="262">
        <v>12454.96</v>
      </c>
      <c r="I200" s="262">
        <v>3000</v>
      </c>
      <c r="J200" s="315">
        <f t="shared" si="7"/>
        <v>17.8</v>
      </c>
      <c r="K200" s="52"/>
      <c r="L200" s="39"/>
    </row>
    <row r="201" spans="1:12" s="32" customFormat="1" ht="24" customHeight="1">
      <c r="A201" s="244"/>
      <c r="B201" s="33"/>
      <c r="C201" s="33"/>
      <c r="D201" s="56" t="s">
        <v>256</v>
      </c>
      <c r="E201" s="57"/>
      <c r="F201" s="58">
        <f>SUM(F202,F220,F235,F240,F242,F248,F249)</f>
        <v>7622150</v>
      </c>
      <c r="G201" s="58">
        <f>SUM(G202,G220,G235,G239,G242,G248,G249)</f>
        <v>8797175</v>
      </c>
      <c r="H201" s="58">
        <f>SUM(H202,H220,H235,H239,H242,H248,H249)</f>
        <v>1551808.61</v>
      </c>
      <c r="I201" s="58">
        <f>SUM(I202,I220,I235,I239,I242,I248,I249)</f>
        <v>446011.56000000006</v>
      </c>
      <c r="J201" s="321">
        <f t="shared" si="7"/>
        <v>17.6</v>
      </c>
      <c r="K201" s="59"/>
      <c r="L201" s="110"/>
    </row>
    <row r="202" spans="1:12" s="23" customFormat="1" ht="17.25" customHeight="1">
      <c r="A202" s="242"/>
      <c r="D202" s="169" t="s">
        <v>49</v>
      </c>
      <c r="E202" s="61"/>
      <c r="F202" s="62">
        <f>SUM(F203,F208,F216:F219)</f>
        <v>4765000</v>
      </c>
      <c r="G202" s="62">
        <f>SUM(G203,G208,G216:G219)</f>
        <v>4585585</v>
      </c>
      <c r="H202" s="62">
        <f>SUM(H203,H208,H216:H219)</f>
        <v>801628.03</v>
      </c>
      <c r="I202" s="62">
        <f>SUM(I203,I208,I216:I219)</f>
        <v>216696.57</v>
      </c>
      <c r="J202" s="314">
        <f t="shared" si="7"/>
        <v>17.5</v>
      </c>
      <c r="K202" s="44"/>
      <c r="L202" s="75"/>
    </row>
    <row r="203" spans="1:11" ht="16.5" customHeight="1">
      <c r="A203" s="242"/>
      <c r="C203" s="23" t="s">
        <v>16</v>
      </c>
      <c r="D203" s="170" t="s">
        <v>257</v>
      </c>
      <c r="E203" s="120" t="s">
        <v>1</v>
      </c>
      <c r="F203" s="129">
        <f>SUM(F204:F207)</f>
        <v>3427000</v>
      </c>
      <c r="G203" s="129">
        <f>SUM(G204:G207)</f>
        <v>2877000</v>
      </c>
      <c r="H203" s="129">
        <f>SUM(H204:H207)</f>
        <v>26767.37</v>
      </c>
      <c r="I203" s="129"/>
      <c r="J203" s="341">
        <f t="shared" si="7"/>
        <v>0.9</v>
      </c>
      <c r="K203" s="44"/>
    </row>
    <row r="204" spans="1:12" s="130" customFormat="1" ht="15" customHeight="1">
      <c r="A204" s="251"/>
      <c r="D204" s="171" t="s">
        <v>258</v>
      </c>
      <c r="E204" s="172"/>
      <c r="F204" s="133">
        <v>300000</v>
      </c>
      <c r="G204" s="133">
        <f>300000-50000</f>
        <v>250000</v>
      </c>
      <c r="H204" s="285">
        <v>24715.37</v>
      </c>
      <c r="I204" s="285"/>
      <c r="J204" s="323">
        <f t="shared" si="7"/>
        <v>9.9</v>
      </c>
      <c r="K204" s="134"/>
      <c r="L204" s="173"/>
    </row>
    <row r="205" spans="1:12" s="130" customFormat="1" ht="15" customHeight="1">
      <c r="A205" s="251"/>
      <c r="D205" s="174" t="s">
        <v>259</v>
      </c>
      <c r="E205" s="175"/>
      <c r="F205" s="133">
        <v>1500000</v>
      </c>
      <c r="G205" s="176">
        <v>1500000</v>
      </c>
      <c r="H205" s="295"/>
      <c r="I205" s="295"/>
      <c r="J205" s="361">
        <f t="shared" si="7"/>
        <v>0</v>
      </c>
      <c r="K205" s="134"/>
      <c r="L205" s="173"/>
    </row>
    <row r="206" spans="1:12" s="130" customFormat="1" ht="15" customHeight="1">
      <c r="A206" s="251"/>
      <c r="D206" s="171" t="s">
        <v>50</v>
      </c>
      <c r="E206" s="172"/>
      <c r="F206" s="133">
        <v>862000</v>
      </c>
      <c r="G206" s="133">
        <f>862000-500000</f>
        <v>362000</v>
      </c>
      <c r="H206" s="285">
        <v>2052</v>
      </c>
      <c r="I206" s="285"/>
      <c r="J206" s="323">
        <f t="shared" si="7"/>
        <v>0.6</v>
      </c>
      <c r="K206" s="134"/>
      <c r="L206" s="173"/>
    </row>
    <row r="207" spans="1:12" s="130" customFormat="1" ht="15" customHeight="1">
      <c r="A207" s="251"/>
      <c r="D207" s="174" t="s">
        <v>50</v>
      </c>
      <c r="E207" s="175"/>
      <c r="F207" s="133">
        <v>765000</v>
      </c>
      <c r="G207" s="176">
        <v>765000</v>
      </c>
      <c r="H207" s="295"/>
      <c r="I207" s="295"/>
      <c r="J207" s="361">
        <f t="shared" si="7"/>
        <v>0</v>
      </c>
      <c r="K207" s="134"/>
      <c r="L207" s="173"/>
    </row>
    <row r="208" spans="1:11" ht="16.5" customHeight="1">
      <c r="A208" s="242"/>
      <c r="C208" s="23" t="s">
        <v>16</v>
      </c>
      <c r="D208" s="177" t="s">
        <v>260</v>
      </c>
      <c r="E208" s="61" t="s">
        <v>1</v>
      </c>
      <c r="F208" s="178">
        <f>SUM(F211:F214)</f>
        <v>488000</v>
      </c>
      <c r="G208" s="178">
        <f>675000+28800</f>
        <v>703800</v>
      </c>
      <c r="H208" s="178">
        <f>SUM(H211:H215)</f>
        <v>132395.64</v>
      </c>
      <c r="I208" s="178">
        <f>SUM(I211:I215)</f>
        <v>57075.84</v>
      </c>
      <c r="J208" s="323">
        <f t="shared" si="7"/>
        <v>18.8</v>
      </c>
      <c r="K208" s="44"/>
    </row>
    <row r="209" spans="1:11" ht="16.5" customHeight="1">
      <c r="A209" s="242"/>
      <c r="D209" s="177"/>
      <c r="E209" s="61"/>
      <c r="F209" s="178"/>
      <c r="G209" s="178"/>
      <c r="H209" s="261"/>
      <c r="I209" s="261"/>
      <c r="J209" s="319"/>
      <c r="K209" s="44"/>
    </row>
    <row r="210" spans="1:11" ht="16.5" customHeight="1">
      <c r="A210" s="242"/>
      <c r="D210" s="177"/>
      <c r="E210" s="61"/>
      <c r="F210" s="178"/>
      <c r="G210" s="178"/>
      <c r="H210" s="261"/>
      <c r="I210" s="261"/>
      <c r="J210" s="319"/>
      <c r="K210" s="44"/>
    </row>
    <row r="211" spans="1:12" s="136" customFormat="1" ht="15" customHeight="1">
      <c r="A211" s="251"/>
      <c r="B211" s="130"/>
      <c r="C211" s="130"/>
      <c r="D211" s="171" t="s">
        <v>261</v>
      </c>
      <c r="E211" s="172"/>
      <c r="F211" s="133">
        <v>200000</v>
      </c>
      <c r="G211" s="133"/>
      <c r="H211" s="285"/>
      <c r="I211" s="285"/>
      <c r="J211" s="319"/>
      <c r="K211" s="134"/>
      <c r="L211" s="135"/>
    </row>
    <row r="212" spans="1:12" s="136" customFormat="1" ht="15" customHeight="1">
      <c r="A212" s="251"/>
      <c r="B212" s="130"/>
      <c r="C212" s="130"/>
      <c r="D212" s="171" t="s">
        <v>262</v>
      </c>
      <c r="E212" s="172"/>
      <c r="F212" s="133">
        <v>118000</v>
      </c>
      <c r="G212" s="133"/>
      <c r="H212" s="285"/>
      <c r="I212" s="285"/>
      <c r="J212" s="319"/>
      <c r="K212" s="134"/>
      <c r="L212" s="135"/>
    </row>
    <row r="213" spans="1:12" s="136" customFormat="1" ht="15" customHeight="1">
      <c r="A213" s="251"/>
      <c r="B213" s="130"/>
      <c r="C213" s="130"/>
      <c r="D213" s="171" t="s">
        <v>263</v>
      </c>
      <c r="E213" s="172"/>
      <c r="F213" s="133">
        <v>90000</v>
      </c>
      <c r="G213" s="133"/>
      <c r="H213" s="285">
        <v>103595.64</v>
      </c>
      <c r="I213" s="285">
        <v>57075.84</v>
      </c>
      <c r="J213" s="319"/>
      <c r="K213" s="134"/>
      <c r="L213" s="135"/>
    </row>
    <row r="214" spans="1:12" s="136" customFormat="1" ht="15" customHeight="1">
      <c r="A214" s="251"/>
      <c r="B214" s="130"/>
      <c r="C214" s="130"/>
      <c r="D214" s="171" t="s">
        <v>264</v>
      </c>
      <c r="E214" s="172"/>
      <c r="F214" s="133">
        <v>80000</v>
      </c>
      <c r="G214" s="133"/>
      <c r="H214" s="285"/>
      <c r="I214" s="285"/>
      <c r="J214" s="319"/>
      <c r="K214" s="134"/>
      <c r="L214" s="135"/>
    </row>
    <row r="215" spans="1:12" s="136" customFormat="1" ht="15" customHeight="1">
      <c r="A215" s="251"/>
      <c r="B215" s="130"/>
      <c r="C215" s="130"/>
      <c r="D215" s="179" t="s">
        <v>265</v>
      </c>
      <c r="E215" s="180"/>
      <c r="F215" s="181"/>
      <c r="G215" s="181">
        <v>28800</v>
      </c>
      <c r="H215" s="296">
        <v>28800</v>
      </c>
      <c r="I215" s="296"/>
      <c r="J215" s="362"/>
      <c r="K215" s="134"/>
      <c r="L215" s="135"/>
    </row>
    <row r="216" spans="1:11" ht="15">
      <c r="A216" s="242"/>
      <c r="C216" s="23" t="s">
        <v>16</v>
      </c>
      <c r="D216" s="182" t="s">
        <v>266</v>
      </c>
      <c r="E216" s="47" t="s">
        <v>1</v>
      </c>
      <c r="F216" s="66">
        <v>300000</v>
      </c>
      <c r="G216" s="66">
        <f>300000+117511</f>
        <v>417511</v>
      </c>
      <c r="H216" s="260">
        <v>358781.77</v>
      </c>
      <c r="I216" s="260">
        <v>83382.54</v>
      </c>
      <c r="J216" s="315">
        <f>ROUND(H216/G216*100,1)</f>
        <v>85.9</v>
      </c>
      <c r="K216" s="44"/>
    </row>
    <row r="217" spans="1:11" ht="30">
      <c r="A217" s="242"/>
      <c r="C217" s="23" t="s">
        <v>16</v>
      </c>
      <c r="D217" s="182" t="s">
        <v>267</v>
      </c>
      <c r="E217" s="47" t="s">
        <v>1</v>
      </c>
      <c r="F217" s="66">
        <v>390000</v>
      </c>
      <c r="G217" s="66">
        <v>390000</v>
      </c>
      <c r="H217" s="260">
        <v>235829.73</v>
      </c>
      <c r="I217" s="260">
        <f>43518.17+9072.02</f>
        <v>52590.19</v>
      </c>
      <c r="J217" s="315">
        <f>ROUND(H217/G217*100,1)</f>
        <v>60.5</v>
      </c>
      <c r="K217" s="44"/>
    </row>
    <row r="218" spans="1:11" ht="15">
      <c r="A218" s="242"/>
      <c r="C218" s="23" t="s">
        <v>16</v>
      </c>
      <c r="D218" s="182" t="s">
        <v>142</v>
      </c>
      <c r="E218" s="47" t="s">
        <v>1</v>
      </c>
      <c r="F218" s="66">
        <v>90000</v>
      </c>
      <c r="G218" s="66">
        <v>90000</v>
      </c>
      <c r="H218" s="260"/>
      <c r="I218" s="260"/>
      <c r="J218" s="333">
        <f>ROUND(H218/G218*100,1)</f>
        <v>0</v>
      </c>
      <c r="K218" s="44"/>
    </row>
    <row r="219" spans="1:12" s="40" customFormat="1" ht="30">
      <c r="A219" s="241"/>
      <c r="B219" s="32"/>
      <c r="C219" s="32" t="s">
        <v>16</v>
      </c>
      <c r="D219" s="183" t="s">
        <v>268</v>
      </c>
      <c r="E219" s="125" t="s">
        <v>1</v>
      </c>
      <c r="F219" s="126">
        <v>70000</v>
      </c>
      <c r="G219" s="126">
        <f>70000+37274</f>
        <v>107274</v>
      </c>
      <c r="H219" s="283">
        <v>47853.52</v>
      </c>
      <c r="I219" s="283">
        <v>23648</v>
      </c>
      <c r="J219" s="315">
        <f>ROUND(H219/G219*100,1)</f>
        <v>44.6</v>
      </c>
      <c r="K219" s="38"/>
      <c r="L219" s="39"/>
    </row>
    <row r="220" spans="1:12" s="32" customFormat="1" ht="30" customHeight="1">
      <c r="A220" s="241"/>
      <c r="C220" s="32" t="s">
        <v>16</v>
      </c>
      <c r="D220" s="115" t="s">
        <v>269</v>
      </c>
      <c r="E220" s="184" t="s">
        <v>1</v>
      </c>
      <c r="F220" s="116">
        <f>SUM(F221:F232)</f>
        <v>1497000</v>
      </c>
      <c r="G220" s="116">
        <f>1596960+294506</f>
        <v>1891466</v>
      </c>
      <c r="H220" s="116">
        <f>SUM(H221:H234)</f>
        <v>173476.31</v>
      </c>
      <c r="I220" s="116">
        <f>SUM(I221:I234)</f>
        <v>71920.56</v>
      </c>
      <c r="J220" s="321">
        <f>ROUND(H220/G220*100,1)</f>
        <v>9.2</v>
      </c>
      <c r="K220" s="38"/>
      <c r="L220" s="110"/>
    </row>
    <row r="221" spans="1:12" s="130" customFormat="1" ht="15" customHeight="1">
      <c r="A221" s="251"/>
      <c r="D221" s="171" t="s">
        <v>270</v>
      </c>
      <c r="E221" s="172"/>
      <c r="F221" s="133">
        <v>300000</v>
      </c>
      <c r="G221" s="133"/>
      <c r="H221" s="285">
        <v>28008</v>
      </c>
      <c r="I221" s="285">
        <v>28008</v>
      </c>
      <c r="J221" s="321"/>
      <c r="K221" s="134"/>
      <c r="L221" s="173"/>
    </row>
    <row r="222" spans="1:12" s="130" customFormat="1" ht="15" customHeight="1">
      <c r="A222" s="251"/>
      <c r="D222" s="171" t="s">
        <v>271</v>
      </c>
      <c r="E222" s="172"/>
      <c r="F222" s="133">
        <v>290000</v>
      </c>
      <c r="G222" s="133"/>
      <c r="H222" s="285">
        <v>14176.8</v>
      </c>
      <c r="I222" s="285"/>
      <c r="J222" s="321"/>
      <c r="K222" s="134"/>
      <c r="L222" s="173"/>
    </row>
    <row r="223" spans="1:12" s="130" customFormat="1" ht="15" customHeight="1">
      <c r="A223" s="251"/>
      <c r="D223" s="171" t="s">
        <v>272</v>
      </c>
      <c r="E223" s="172"/>
      <c r="F223" s="133">
        <v>250000</v>
      </c>
      <c r="G223" s="133"/>
      <c r="H223" s="285">
        <v>31380</v>
      </c>
      <c r="I223" s="285">
        <v>5976</v>
      </c>
      <c r="J223" s="321"/>
      <c r="K223" s="134"/>
      <c r="L223" s="173"/>
    </row>
    <row r="224" spans="1:12" s="130" customFormat="1" ht="15" customHeight="1">
      <c r="A224" s="251"/>
      <c r="D224" s="171" t="s">
        <v>346</v>
      </c>
      <c r="E224" s="172"/>
      <c r="F224" s="133"/>
      <c r="G224" s="133"/>
      <c r="H224" s="285"/>
      <c r="I224" s="285"/>
      <c r="J224" s="321"/>
      <c r="K224" s="134"/>
      <c r="L224" s="173"/>
    </row>
    <row r="225" spans="1:12" s="130" customFormat="1" ht="15" customHeight="1">
      <c r="A225" s="251"/>
      <c r="D225" s="171" t="s">
        <v>273</v>
      </c>
      <c r="E225" s="172"/>
      <c r="F225" s="133">
        <v>125000</v>
      </c>
      <c r="G225" s="133"/>
      <c r="H225" s="285"/>
      <c r="I225" s="285"/>
      <c r="J225" s="321"/>
      <c r="K225" s="134"/>
      <c r="L225" s="173"/>
    </row>
    <row r="226" spans="1:12" s="130" customFormat="1" ht="15" customHeight="1">
      <c r="A226" s="251"/>
      <c r="D226" s="171" t="s">
        <v>53</v>
      </c>
      <c r="E226" s="172"/>
      <c r="F226" s="133">
        <v>105000</v>
      </c>
      <c r="G226" s="133"/>
      <c r="H226" s="285">
        <v>6308</v>
      </c>
      <c r="I226" s="285"/>
      <c r="J226" s="321"/>
      <c r="K226" s="134"/>
      <c r="L226" s="173"/>
    </row>
    <row r="227" spans="1:12" s="130" customFormat="1" ht="15" customHeight="1">
      <c r="A227" s="251"/>
      <c r="D227" s="171" t="s">
        <v>274</v>
      </c>
      <c r="E227" s="172"/>
      <c r="F227" s="133">
        <v>105000</v>
      </c>
      <c r="G227" s="133"/>
      <c r="H227" s="285">
        <v>11040</v>
      </c>
      <c r="I227" s="285">
        <v>2208</v>
      </c>
      <c r="J227" s="321"/>
      <c r="K227" s="134"/>
      <c r="L227" s="173"/>
    </row>
    <row r="228" spans="1:12" s="130" customFormat="1" ht="15" customHeight="1">
      <c r="A228" s="251"/>
      <c r="D228" s="171" t="s">
        <v>51</v>
      </c>
      <c r="E228" s="172"/>
      <c r="F228" s="133">
        <v>100000</v>
      </c>
      <c r="G228" s="133"/>
      <c r="H228" s="285">
        <v>52657.51</v>
      </c>
      <c r="I228" s="285"/>
      <c r="J228" s="321"/>
      <c r="K228" s="134"/>
      <c r="L228" s="173"/>
    </row>
    <row r="229" spans="1:12" s="130" customFormat="1" ht="15" customHeight="1">
      <c r="A229" s="251"/>
      <c r="D229" s="171" t="s">
        <v>275</v>
      </c>
      <c r="E229" s="172"/>
      <c r="F229" s="133">
        <v>70000</v>
      </c>
      <c r="G229" s="133"/>
      <c r="H229" s="285"/>
      <c r="I229" s="285">
        <v>35728.56</v>
      </c>
      <c r="J229" s="321"/>
      <c r="K229" s="134"/>
      <c r="L229" s="173"/>
    </row>
    <row r="230" spans="1:12" s="130" customFormat="1" ht="15" customHeight="1">
      <c r="A230" s="251"/>
      <c r="D230" s="171" t="s">
        <v>52</v>
      </c>
      <c r="E230" s="172"/>
      <c r="F230" s="133">
        <v>70000</v>
      </c>
      <c r="G230" s="133"/>
      <c r="H230" s="285">
        <v>13208</v>
      </c>
      <c r="I230" s="285"/>
      <c r="J230" s="321"/>
      <c r="K230" s="134"/>
      <c r="L230" s="173"/>
    </row>
    <row r="231" spans="1:12" s="130" customFormat="1" ht="15" customHeight="1">
      <c r="A231" s="251"/>
      <c r="D231" s="171" t="s">
        <v>54</v>
      </c>
      <c r="E231" s="172"/>
      <c r="F231" s="133">
        <v>50000</v>
      </c>
      <c r="G231" s="133"/>
      <c r="H231" s="285">
        <v>14538</v>
      </c>
      <c r="I231" s="285"/>
      <c r="J231" s="321"/>
      <c r="K231" s="134"/>
      <c r="L231" s="173"/>
    </row>
    <row r="232" spans="1:12" s="130" customFormat="1" ht="15" customHeight="1">
      <c r="A232" s="251"/>
      <c r="D232" s="171" t="s">
        <v>276</v>
      </c>
      <c r="E232" s="172"/>
      <c r="F232" s="150">
        <v>32000</v>
      </c>
      <c r="G232" s="133"/>
      <c r="H232" s="285"/>
      <c r="I232" s="285"/>
      <c r="J232" s="321"/>
      <c r="K232" s="134"/>
      <c r="L232" s="173"/>
    </row>
    <row r="233" spans="1:12" s="130" customFormat="1" ht="15" customHeight="1">
      <c r="A233" s="251"/>
      <c r="D233" s="174" t="s">
        <v>276</v>
      </c>
      <c r="E233" s="175"/>
      <c r="F233" s="176"/>
      <c r="G233" s="176">
        <f>9960+2160</f>
        <v>12120</v>
      </c>
      <c r="H233" s="295">
        <v>2160</v>
      </c>
      <c r="I233" s="295"/>
      <c r="J233" s="341">
        <f aca="true" t="shared" si="8" ref="J233:J238">ROUND(H233/G233*100,1)</f>
        <v>17.8</v>
      </c>
      <c r="K233" s="134"/>
      <c r="L233" s="173"/>
    </row>
    <row r="234" spans="1:12" s="130" customFormat="1" ht="15" customHeight="1">
      <c r="A234" s="251"/>
      <c r="D234" s="174" t="s">
        <v>277</v>
      </c>
      <c r="E234" s="175"/>
      <c r="F234" s="176"/>
      <c r="G234" s="176">
        <v>90000</v>
      </c>
      <c r="H234" s="295"/>
      <c r="I234" s="295"/>
      <c r="J234" s="341">
        <f t="shared" si="8"/>
        <v>0</v>
      </c>
      <c r="K234" s="134"/>
      <c r="L234" s="173"/>
    </row>
    <row r="235" spans="1:12" s="130" customFormat="1" ht="29.25" customHeight="1">
      <c r="A235" s="251"/>
      <c r="D235" s="225" t="s">
        <v>278</v>
      </c>
      <c r="E235" s="186"/>
      <c r="F235" s="187">
        <f>SUM(F236,F238)</f>
        <v>44000</v>
      </c>
      <c r="G235" s="187">
        <f>SUM(G236:G238)</f>
        <v>217150</v>
      </c>
      <c r="H235" s="187">
        <f>SUM(H236:H238)</f>
        <v>150935.7</v>
      </c>
      <c r="I235" s="187">
        <f>SUM(I236:I238)</f>
        <v>16626</v>
      </c>
      <c r="J235" s="357">
        <f t="shared" si="8"/>
        <v>69.5</v>
      </c>
      <c r="K235" s="187">
        <f>SUM(K236,K238)</f>
        <v>0</v>
      </c>
      <c r="L235" s="173"/>
    </row>
    <row r="236" spans="1:12" s="32" customFormat="1" ht="30" customHeight="1">
      <c r="A236" s="241"/>
      <c r="C236" s="32" t="s">
        <v>16</v>
      </c>
      <c r="D236" s="188" t="s">
        <v>279</v>
      </c>
      <c r="E236" s="189" t="s">
        <v>1</v>
      </c>
      <c r="F236" s="190">
        <v>44000</v>
      </c>
      <c r="G236" s="191">
        <f>44000+20000</f>
        <v>64000</v>
      </c>
      <c r="H236" s="282"/>
      <c r="I236" s="282"/>
      <c r="J236" s="321">
        <f t="shared" si="8"/>
        <v>0</v>
      </c>
      <c r="K236" s="38"/>
      <c r="L236" s="110"/>
    </row>
    <row r="237" spans="1:12" s="32" customFormat="1" ht="30" customHeight="1">
      <c r="A237" s="241"/>
      <c r="C237" s="32" t="s">
        <v>16</v>
      </c>
      <c r="D237" s="188" t="s">
        <v>369</v>
      </c>
      <c r="E237" s="189" t="s">
        <v>1</v>
      </c>
      <c r="F237" s="190"/>
      <c r="G237" s="191">
        <v>18309</v>
      </c>
      <c r="H237" s="293">
        <v>16626</v>
      </c>
      <c r="I237" s="293">
        <v>16626</v>
      </c>
      <c r="J237" s="341">
        <f t="shared" si="8"/>
        <v>90.8</v>
      </c>
      <c r="K237" s="38"/>
      <c r="L237" s="110"/>
    </row>
    <row r="238" spans="1:12" s="32" customFormat="1" ht="30" customHeight="1">
      <c r="A238" s="241"/>
      <c r="C238" s="32" t="s">
        <v>16</v>
      </c>
      <c r="D238" s="188" t="s">
        <v>143</v>
      </c>
      <c r="E238" s="189" t="s">
        <v>1</v>
      </c>
      <c r="F238" s="190"/>
      <c r="G238" s="191">
        <f>227842-44001-49000</f>
        <v>134841</v>
      </c>
      <c r="H238" s="297">
        <v>134309.7</v>
      </c>
      <c r="I238" s="297"/>
      <c r="J238" s="341">
        <f t="shared" si="8"/>
        <v>99.6</v>
      </c>
      <c r="K238" s="38"/>
      <c r="L238" s="110"/>
    </row>
    <row r="239" spans="1:12" s="32" customFormat="1" ht="30" customHeight="1">
      <c r="A239" s="241"/>
      <c r="D239" s="185" t="s">
        <v>347</v>
      </c>
      <c r="E239" s="189"/>
      <c r="F239" s="190"/>
      <c r="G239" s="190">
        <f>SUM(G240,G241)</f>
        <v>496500</v>
      </c>
      <c r="H239" s="190">
        <f>SUM(H240,H241)</f>
        <v>25480.08</v>
      </c>
      <c r="I239" s="191"/>
      <c r="J239" s="191">
        <f>SUM(J240,J241)</f>
        <v>5.3</v>
      </c>
      <c r="K239" s="38"/>
      <c r="L239" s="110"/>
    </row>
    <row r="240" spans="1:12" s="32" customFormat="1" ht="15">
      <c r="A240" s="241"/>
      <c r="C240" s="32" t="s">
        <v>16</v>
      </c>
      <c r="D240" s="298" t="s">
        <v>348</v>
      </c>
      <c r="E240" s="189" t="s">
        <v>1</v>
      </c>
      <c r="F240" s="190">
        <v>476500</v>
      </c>
      <c r="G240" s="191">
        <v>476500</v>
      </c>
      <c r="H240" s="297">
        <v>25480.08</v>
      </c>
      <c r="I240" s="297"/>
      <c r="J240" s="315">
        <f aca="true" t="shared" si="9" ref="J240:J250">ROUND(H240/G240*100,1)</f>
        <v>5.3</v>
      </c>
      <c r="K240" s="38"/>
      <c r="L240" s="110"/>
    </row>
    <row r="241" spans="1:12" s="32" customFormat="1" ht="15">
      <c r="A241" s="241"/>
      <c r="C241" s="32" t="s">
        <v>16</v>
      </c>
      <c r="D241" s="188" t="s">
        <v>349</v>
      </c>
      <c r="E241" s="189" t="s">
        <v>1</v>
      </c>
      <c r="F241" s="190"/>
      <c r="G241" s="191">
        <v>20000</v>
      </c>
      <c r="H241" s="282"/>
      <c r="I241" s="282"/>
      <c r="J241" s="315">
        <f t="shared" si="9"/>
        <v>0</v>
      </c>
      <c r="K241" s="38"/>
      <c r="L241" s="110"/>
    </row>
    <row r="242" spans="1:12" s="23" customFormat="1" ht="17.25" customHeight="1">
      <c r="A242" s="242"/>
      <c r="D242" s="170" t="s">
        <v>319</v>
      </c>
      <c r="E242" s="192"/>
      <c r="F242" s="69">
        <f>SUM(F243:F247)</f>
        <v>109650</v>
      </c>
      <c r="G242" s="69">
        <f>SUM(G243:G247)</f>
        <v>548650</v>
      </c>
      <c r="H242" s="69">
        <f>SUM(H243:H247)</f>
        <v>13236</v>
      </c>
      <c r="I242" s="69">
        <f>SUM(I243:I247)</f>
        <v>0</v>
      </c>
      <c r="J242" s="321">
        <f t="shared" si="9"/>
        <v>2.4</v>
      </c>
      <c r="K242" s="44"/>
      <c r="L242" s="75"/>
    </row>
    <row r="243" spans="1:11" ht="16.5" customHeight="1">
      <c r="A243" s="242"/>
      <c r="C243" s="23" t="s">
        <v>16</v>
      </c>
      <c r="D243" s="64" t="s">
        <v>280</v>
      </c>
      <c r="E243" s="193" t="s">
        <v>1</v>
      </c>
      <c r="F243" s="43">
        <v>100000</v>
      </c>
      <c r="G243" s="43">
        <f>100000+130000+130000-80000+80000</f>
        <v>360000</v>
      </c>
      <c r="H243" s="259"/>
      <c r="I243" s="259"/>
      <c r="J243" s="314">
        <f t="shared" si="9"/>
        <v>0</v>
      </c>
      <c r="K243" s="44"/>
    </row>
    <row r="244" spans="1:11" ht="16.5" customHeight="1">
      <c r="A244" s="242"/>
      <c r="C244" s="23" t="s">
        <v>10</v>
      </c>
      <c r="D244" s="197" t="s">
        <v>370</v>
      </c>
      <c r="E244" s="363" t="s">
        <v>1</v>
      </c>
      <c r="F244" s="199"/>
      <c r="G244" s="199">
        <v>20000</v>
      </c>
      <c r="H244" s="299"/>
      <c r="I244" s="299"/>
      <c r="J244" s="362"/>
      <c r="K244" s="44"/>
    </row>
    <row r="245" spans="1:11" ht="16.5" customHeight="1">
      <c r="A245" s="242"/>
      <c r="C245" s="23" t="s">
        <v>10</v>
      </c>
      <c r="D245" s="64" t="s">
        <v>371</v>
      </c>
      <c r="E245" s="193" t="s">
        <v>1</v>
      </c>
      <c r="F245" s="43"/>
      <c r="G245" s="43">
        <v>50000</v>
      </c>
      <c r="H245" s="259">
        <v>4956</v>
      </c>
      <c r="I245" s="259"/>
      <c r="J245" s="314"/>
      <c r="K245" s="44"/>
    </row>
    <row r="246" spans="1:12" s="40" customFormat="1" ht="16.5" customHeight="1">
      <c r="A246" s="241"/>
      <c r="B246" s="32"/>
      <c r="C246" s="32" t="s">
        <v>10</v>
      </c>
      <c r="D246" s="194" t="s">
        <v>281</v>
      </c>
      <c r="E246" s="195" t="s">
        <v>1</v>
      </c>
      <c r="F246" s="126">
        <v>3100</v>
      </c>
      <c r="G246" s="126">
        <v>112100</v>
      </c>
      <c r="H246" s="283">
        <v>1730</v>
      </c>
      <c r="I246" s="283"/>
      <c r="J246" s="315">
        <f t="shared" si="9"/>
        <v>1.5</v>
      </c>
      <c r="K246" s="38"/>
      <c r="L246" s="39"/>
    </row>
    <row r="247" spans="1:12" s="40" customFormat="1" ht="33" customHeight="1">
      <c r="A247" s="241"/>
      <c r="B247" s="32"/>
      <c r="C247" s="32" t="s">
        <v>10</v>
      </c>
      <c r="D247" s="194" t="s">
        <v>281</v>
      </c>
      <c r="E247" s="195" t="s">
        <v>1</v>
      </c>
      <c r="F247" s="126">
        <v>6550</v>
      </c>
      <c r="G247" s="126">
        <v>6550</v>
      </c>
      <c r="H247" s="293">
        <v>6550</v>
      </c>
      <c r="I247" s="293"/>
      <c r="J247" s="315">
        <f t="shared" si="9"/>
        <v>100</v>
      </c>
      <c r="K247" s="38"/>
      <c r="L247" s="39"/>
    </row>
    <row r="248" spans="1:12" s="32" customFormat="1" ht="59.25" customHeight="1">
      <c r="A248" s="241"/>
      <c r="C248" s="32" t="s">
        <v>10</v>
      </c>
      <c r="D248" s="185" t="s">
        <v>282</v>
      </c>
      <c r="E248" s="189" t="s">
        <v>1</v>
      </c>
      <c r="F248" s="190">
        <v>18000</v>
      </c>
      <c r="G248" s="190">
        <v>18000</v>
      </c>
      <c r="H248" s="282"/>
      <c r="I248" s="282"/>
      <c r="J248" s="333">
        <f t="shared" si="9"/>
        <v>0</v>
      </c>
      <c r="K248" s="38"/>
      <c r="L248" s="110"/>
    </row>
    <row r="249" spans="1:12" s="23" customFormat="1" ht="17.25" customHeight="1">
      <c r="A249" s="242"/>
      <c r="D249" s="196" t="s">
        <v>55</v>
      </c>
      <c r="E249" s="120"/>
      <c r="F249" s="69">
        <f>SUM(F250:F255,F259)</f>
        <v>712000</v>
      </c>
      <c r="G249" s="69">
        <f>SUM(G250:G255,G259)</f>
        <v>1039824</v>
      </c>
      <c r="H249" s="69">
        <f>SUM(H250:H255,H259)</f>
        <v>387052.49</v>
      </c>
      <c r="I249" s="69">
        <f>SUM(I250:I255,I259)</f>
        <v>140768.43000000002</v>
      </c>
      <c r="J249" s="364">
        <f t="shared" si="9"/>
        <v>37.2</v>
      </c>
      <c r="K249" s="44"/>
      <c r="L249" s="75"/>
    </row>
    <row r="250" spans="1:11" ht="16.5" customHeight="1">
      <c r="A250" s="242"/>
      <c r="C250" s="23" t="s">
        <v>16</v>
      </c>
      <c r="D250" s="64" t="s">
        <v>56</v>
      </c>
      <c r="E250" s="65" t="s">
        <v>1</v>
      </c>
      <c r="F250" s="43">
        <v>280000</v>
      </c>
      <c r="G250" s="43">
        <f>280000+70000</f>
        <v>350000</v>
      </c>
      <c r="H250" s="259">
        <v>265904.24</v>
      </c>
      <c r="I250" s="259">
        <f>88642.67+15862.02</f>
        <v>104504.69</v>
      </c>
      <c r="J250" s="314">
        <f t="shared" si="9"/>
        <v>76</v>
      </c>
      <c r="K250" s="44"/>
    </row>
    <row r="251" spans="1:11" ht="16.5" customHeight="1">
      <c r="A251" s="242"/>
      <c r="C251" s="23" t="s">
        <v>16</v>
      </c>
      <c r="D251" s="197" t="s">
        <v>56</v>
      </c>
      <c r="E251" s="198" t="s">
        <v>1</v>
      </c>
      <c r="F251" s="199"/>
      <c r="G251" s="199">
        <v>24824</v>
      </c>
      <c r="H251" s="299"/>
      <c r="I251" s="299"/>
      <c r="J251" s="331"/>
      <c r="K251" s="44"/>
    </row>
    <row r="252" spans="1:11" ht="15">
      <c r="A252" s="242"/>
      <c r="C252" s="23" t="s">
        <v>16</v>
      </c>
      <c r="D252" s="46" t="s">
        <v>283</v>
      </c>
      <c r="E252" s="47" t="s">
        <v>1</v>
      </c>
      <c r="F252" s="66">
        <v>130000</v>
      </c>
      <c r="G252" s="66">
        <f>130000+8000</f>
        <v>138000</v>
      </c>
      <c r="H252" s="260">
        <v>24648</v>
      </c>
      <c r="I252" s="260">
        <v>21036</v>
      </c>
      <c r="J252" s="315">
        <f aca="true" t="shared" si="10" ref="J252:J272">ROUND(H252/G252*100,1)</f>
        <v>17.9</v>
      </c>
      <c r="K252" s="44"/>
    </row>
    <row r="253" spans="1:11" ht="30">
      <c r="A253" s="242"/>
      <c r="C253" s="23" t="s">
        <v>16</v>
      </c>
      <c r="D253" s="46" t="s">
        <v>57</v>
      </c>
      <c r="E253" s="47" t="s">
        <v>1</v>
      </c>
      <c r="F253" s="66">
        <v>100000</v>
      </c>
      <c r="G253" s="66">
        <v>100000</v>
      </c>
      <c r="H253" s="260">
        <v>53635.39</v>
      </c>
      <c r="I253" s="260">
        <f>7080+969.6+572.94</f>
        <v>8622.54</v>
      </c>
      <c r="J253" s="314">
        <f t="shared" si="10"/>
        <v>53.6</v>
      </c>
      <c r="K253" s="44"/>
    </row>
    <row r="254" spans="1:11" ht="33.75" customHeight="1">
      <c r="A254" s="242"/>
      <c r="C254" s="23" t="s">
        <v>16</v>
      </c>
      <c r="D254" s="46" t="s">
        <v>284</v>
      </c>
      <c r="E254" s="47" t="s">
        <v>1</v>
      </c>
      <c r="F254" s="66">
        <v>32000</v>
      </c>
      <c r="G254" s="66">
        <v>32000</v>
      </c>
      <c r="H254" s="260"/>
      <c r="I254" s="260"/>
      <c r="J254" s="315">
        <f t="shared" si="10"/>
        <v>0</v>
      </c>
      <c r="K254" s="44"/>
    </row>
    <row r="255" spans="1:11" ht="15">
      <c r="A255" s="242"/>
      <c r="C255" s="23" t="s">
        <v>16</v>
      </c>
      <c r="D255" s="170" t="s">
        <v>285</v>
      </c>
      <c r="E255" s="120" t="s">
        <v>1</v>
      </c>
      <c r="F255" s="129">
        <f>SUM(F256:F258)</f>
        <v>170000</v>
      </c>
      <c r="G255" s="129">
        <f>170000+50000+45000</f>
        <v>265000</v>
      </c>
      <c r="H255" s="284"/>
      <c r="I255" s="284"/>
      <c r="J255" s="341">
        <f t="shared" si="10"/>
        <v>0</v>
      </c>
      <c r="K255" s="44"/>
    </row>
    <row r="256" spans="1:12" s="130" customFormat="1" ht="15">
      <c r="A256" s="251"/>
      <c r="D256" s="171" t="s">
        <v>286</v>
      </c>
      <c r="E256" s="172"/>
      <c r="F256" s="200">
        <v>125000</v>
      </c>
      <c r="G256" s="200">
        <v>125000</v>
      </c>
      <c r="H256" s="285"/>
      <c r="I256" s="285"/>
      <c r="J256" s="323">
        <f t="shared" si="10"/>
        <v>0</v>
      </c>
      <c r="K256" s="134"/>
      <c r="L256" s="173"/>
    </row>
    <row r="257" spans="1:12" s="130" customFormat="1" ht="15">
      <c r="A257" s="251"/>
      <c r="D257" s="171" t="s">
        <v>287</v>
      </c>
      <c r="E257" s="172"/>
      <c r="F257" s="200">
        <v>35000</v>
      </c>
      <c r="G257" s="200">
        <v>35000</v>
      </c>
      <c r="H257" s="285"/>
      <c r="I257" s="285"/>
      <c r="J257" s="323">
        <f t="shared" si="10"/>
        <v>0</v>
      </c>
      <c r="K257" s="134"/>
      <c r="L257" s="173"/>
    </row>
    <row r="258" spans="1:12" s="130" customFormat="1" ht="15">
      <c r="A258" s="257"/>
      <c r="B258" s="201"/>
      <c r="C258" s="201"/>
      <c r="D258" s="226" t="s">
        <v>288</v>
      </c>
      <c r="E258" s="227"/>
      <c r="F258" s="228">
        <v>10000</v>
      </c>
      <c r="G258" s="228">
        <v>10000</v>
      </c>
      <c r="H258" s="300"/>
      <c r="I258" s="300"/>
      <c r="J258" s="314">
        <f t="shared" si="10"/>
        <v>0</v>
      </c>
      <c r="K258" s="202"/>
      <c r="L258" s="173"/>
    </row>
    <row r="259" spans="1:12" s="130" customFormat="1" ht="15">
      <c r="A259" s="251"/>
      <c r="C259" s="229" t="s">
        <v>16</v>
      </c>
      <c r="D259" s="230" t="s">
        <v>289</v>
      </c>
      <c r="E259" s="175" t="s">
        <v>1</v>
      </c>
      <c r="F259" s="231"/>
      <c r="G259" s="232">
        <f>130000</f>
        <v>130000</v>
      </c>
      <c r="H259" s="295">
        <v>42864.86</v>
      </c>
      <c r="I259" s="295">
        <v>6605.2</v>
      </c>
      <c r="J259" s="331">
        <f t="shared" si="10"/>
        <v>33</v>
      </c>
      <c r="K259" s="134"/>
      <c r="L259" s="173"/>
    </row>
    <row r="260" spans="1:12" s="32" customFormat="1" ht="24" customHeight="1">
      <c r="A260" s="244"/>
      <c r="B260" s="33"/>
      <c r="C260" s="33"/>
      <c r="D260" s="56" t="s">
        <v>290</v>
      </c>
      <c r="E260" s="57"/>
      <c r="F260" s="58">
        <f>SUM(F261,F263,F266,F269)</f>
        <v>162500</v>
      </c>
      <c r="G260" s="58">
        <f>SUM(G261,G262,G266,G269)</f>
        <v>188620</v>
      </c>
      <c r="H260" s="58">
        <f>SUM(H261,H262,H266,H269)</f>
        <v>47000</v>
      </c>
      <c r="I260" s="58">
        <f>SUM(I261,I263,I266,I269)</f>
        <v>37000</v>
      </c>
      <c r="J260" s="321">
        <f t="shared" si="10"/>
        <v>24.9</v>
      </c>
      <c r="K260" s="59"/>
      <c r="L260" s="110"/>
    </row>
    <row r="261" spans="1:12" s="40" customFormat="1" ht="45" customHeight="1">
      <c r="A261" s="241"/>
      <c r="B261" s="32"/>
      <c r="C261" s="32" t="s">
        <v>16</v>
      </c>
      <c r="D261" s="203" t="s">
        <v>291</v>
      </c>
      <c r="E261" s="112" t="s">
        <v>1</v>
      </c>
      <c r="F261" s="204">
        <v>39000</v>
      </c>
      <c r="G261" s="204">
        <v>39000</v>
      </c>
      <c r="H261" s="301">
        <v>7000</v>
      </c>
      <c r="I261" s="301">
        <v>7000</v>
      </c>
      <c r="J261" s="314">
        <f t="shared" si="10"/>
        <v>17.9</v>
      </c>
      <c r="K261" s="38"/>
      <c r="L261" s="39"/>
    </row>
    <row r="262" spans="1:12" s="40" customFormat="1" ht="33" customHeight="1">
      <c r="A262" s="241"/>
      <c r="B262" s="32"/>
      <c r="C262" s="32"/>
      <c r="D262" s="302" t="s">
        <v>350</v>
      </c>
      <c r="E262" s="112"/>
      <c r="F262" s="204"/>
      <c r="G262" s="204">
        <f>SUM(G263,G264)</f>
        <v>13620</v>
      </c>
      <c r="H262" s="204">
        <f>SUM(H263,H264)</f>
        <v>0</v>
      </c>
      <c r="I262" s="204">
        <f>SUM(I263,I264)</f>
        <v>0</v>
      </c>
      <c r="J262" s="314"/>
      <c r="K262" s="38"/>
      <c r="L262" s="39"/>
    </row>
    <row r="263" spans="1:12" s="40" customFormat="1" ht="31.5" customHeight="1">
      <c r="A263" s="241"/>
      <c r="B263" s="32"/>
      <c r="C263" s="32" t="s">
        <v>59</v>
      </c>
      <c r="D263" s="124" t="s">
        <v>351</v>
      </c>
      <c r="E263" s="125" t="s">
        <v>1</v>
      </c>
      <c r="F263" s="205">
        <v>3500</v>
      </c>
      <c r="G263" s="303">
        <f>3500+7300</f>
        <v>10800</v>
      </c>
      <c r="H263" s="304"/>
      <c r="I263" s="304"/>
      <c r="J263" s="315">
        <f t="shared" si="10"/>
        <v>0</v>
      </c>
      <c r="K263" s="38"/>
      <c r="L263" s="39"/>
    </row>
    <row r="264" spans="1:12" s="40" customFormat="1" ht="31.5" customHeight="1">
      <c r="A264" s="241"/>
      <c r="B264" s="32"/>
      <c r="C264" s="32" t="s">
        <v>59</v>
      </c>
      <c r="D264" s="124" t="s">
        <v>352</v>
      </c>
      <c r="E264" s="125" t="s">
        <v>1</v>
      </c>
      <c r="F264" s="205"/>
      <c r="G264" s="303">
        <v>2820</v>
      </c>
      <c r="H264" s="304"/>
      <c r="I264" s="304"/>
      <c r="J264" s="315"/>
      <c r="K264" s="38"/>
      <c r="L264" s="39"/>
    </row>
    <row r="265" spans="1:12" s="40" customFormat="1" ht="31.5" customHeight="1">
      <c r="A265" s="241"/>
      <c r="B265" s="32"/>
      <c r="C265" s="32"/>
      <c r="D265" s="206" t="s">
        <v>353</v>
      </c>
      <c r="E265" s="125"/>
      <c r="F265" s="205"/>
      <c r="G265" s="205">
        <f>SUM(G266,G267,G268)</f>
        <v>39979</v>
      </c>
      <c r="H265" s="303">
        <f>SUM(H266,H267)</f>
        <v>0</v>
      </c>
      <c r="I265" s="303">
        <f>SUM(I266,I267)</f>
        <v>0</v>
      </c>
      <c r="J265" s="315"/>
      <c r="K265" s="38"/>
      <c r="L265" s="39"/>
    </row>
    <row r="266" spans="1:12" s="40" customFormat="1" ht="30">
      <c r="A266" s="241"/>
      <c r="B266" s="32"/>
      <c r="C266" s="32" t="s">
        <v>16</v>
      </c>
      <c r="D266" s="124" t="s">
        <v>354</v>
      </c>
      <c r="E266" s="125" t="s">
        <v>1</v>
      </c>
      <c r="F266" s="205">
        <v>30000</v>
      </c>
      <c r="G266" s="303">
        <v>30000</v>
      </c>
      <c r="H266" s="304"/>
      <c r="I266" s="304"/>
      <c r="J266" s="315">
        <f t="shared" si="10"/>
        <v>0</v>
      </c>
      <c r="K266" s="38"/>
      <c r="L266" s="39"/>
    </row>
    <row r="267" spans="1:12" s="40" customFormat="1" ht="30">
      <c r="A267" s="241"/>
      <c r="B267" s="32"/>
      <c r="C267" s="32"/>
      <c r="D267" s="305" t="s">
        <v>355</v>
      </c>
      <c r="E267" s="306" t="s">
        <v>1</v>
      </c>
      <c r="F267" s="307"/>
      <c r="G267" s="308">
        <v>3979</v>
      </c>
      <c r="H267" s="309"/>
      <c r="I267" s="309"/>
      <c r="J267" s="365"/>
      <c r="K267" s="38"/>
      <c r="L267" s="39"/>
    </row>
    <row r="268" spans="1:12" s="40" customFormat="1" ht="30">
      <c r="A268" s="241"/>
      <c r="B268" s="32"/>
      <c r="C268" s="32"/>
      <c r="D268" s="310" t="s">
        <v>356</v>
      </c>
      <c r="E268" s="125" t="s">
        <v>1</v>
      </c>
      <c r="F268" s="116"/>
      <c r="G268" s="256">
        <v>6000</v>
      </c>
      <c r="H268" s="282"/>
      <c r="I268" s="282"/>
      <c r="J268" s="341"/>
      <c r="K268" s="38"/>
      <c r="L268" s="39"/>
    </row>
    <row r="269" spans="1:11" ht="17.25" customHeight="1">
      <c r="A269" s="242"/>
      <c r="D269" s="207" t="s">
        <v>292</v>
      </c>
      <c r="E269" s="68"/>
      <c r="F269" s="69">
        <f>SUM(F270:F272)</f>
        <v>90000</v>
      </c>
      <c r="G269" s="69">
        <f>SUM(G270,G271,G272)</f>
        <v>106000</v>
      </c>
      <c r="H269" s="69">
        <f>SUM(H270,H271,H272)</f>
        <v>40000</v>
      </c>
      <c r="I269" s="69">
        <f>SUM(I270,I271,I272)</f>
        <v>30000</v>
      </c>
      <c r="J269" s="321">
        <f t="shared" si="10"/>
        <v>37.7</v>
      </c>
      <c r="K269" s="44"/>
    </row>
    <row r="270" spans="1:11" ht="17.25" customHeight="1">
      <c r="A270" s="242"/>
      <c r="C270" s="23" t="s">
        <v>16</v>
      </c>
      <c r="D270" s="208" t="s">
        <v>293</v>
      </c>
      <c r="E270" s="209" t="s">
        <v>1</v>
      </c>
      <c r="F270" s="43">
        <v>10000</v>
      </c>
      <c r="G270" s="43">
        <f>10000-10000</f>
        <v>0</v>
      </c>
      <c r="H270" s="259"/>
      <c r="I270" s="259"/>
      <c r="J270" s="314"/>
      <c r="K270" s="44"/>
    </row>
    <row r="271" spans="1:11" ht="17.25" customHeight="1">
      <c r="A271" s="242"/>
      <c r="C271" s="23" t="s">
        <v>16</v>
      </c>
      <c r="D271" s="311" t="s">
        <v>357</v>
      </c>
      <c r="E271" s="209" t="s">
        <v>1</v>
      </c>
      <c r="F271" s="178"/>
      <c r="G271" s="178">
        <v>6000</v>
      </c>
      <c r="H271" s="261"/>
      <c r="I271" s="261"/>
      <c r="J271" s="314"/>
      <c r="K271" s="44"/>
    </row>
    <row r="272" spans="1:12" s="40" customFormat="1" ht="36.75" customHeight="1">
      <c r="A272" s="243"/>
      <c r="B272" s="48"/>
      <c r="C272" s="48" t="s">
        <v>16</v>
      </c>
      <c r="D272" s="49" t="s">
        <v>294</v>
      </c>
      <c r="E272" s="50" t="s">
        <v>3</v>
      </c>
      <c r="F272" s="51">
        <v>80000</v>
      </c>
      <c r="G272" s="51">
        <f>80000+20000</f>
        <v>100000</v>
      </c>
      <c r="H272" s="262">
        <v>40000</v>
      </c>
      <c r="I272" s="262">
        <v>30000</v>
      </c>
      <c r="J272" s="315">
        <f t="shared" si="10"/>
        <v>40</v>
      </c>
      <c r="K272" s="210"/>
      <c r="L272" s="39"/>
    </row>
    <row r="273" spans="4:16" s="23" customFormat="1" ht="15">
      <c r="D273" s="26"/>
      <c r="E273" s="258"/>
      <c r="F273" s="258"/>
      <c r="G273" s="26"/>
      <c r="H273" s="26"/>
      <c r="I273" s="26"/>
      <c r="J273" s="211"/>
      <c r="L273" s="25"/>
      <c r="M273" s="26"/>
      <c r="N273" s="26"/>
      <c r="O273" s="26"/>
      <c r="P273" s="26"/>
    </row>
    <row r="274" spans="3:16" s="23" customFormat="1" ht="31.5" customHeight="1">
      <c r="C274" s="233" t="s">
        <v>303</v>
      </c>
      <c r="D274" s="372" t="s">
        <v>304</v>
      </c>
      <c r="E274" s="372"/>
      <c r="F274" s="372"/>
      <c r="G274" s="373"/>
      <c r="H274" s="373"/>
      <c r="I274" s="373"/>
      <c r="J274" s="373"/>
      <c r="L274" s="25"/>
      <c r="M274" s="26"/>
      <c r="N274" s="26"/>
      <c r="O274" s="26"/>
      <c r="P274" s="26"/>
    </row>
  </sheetData>
  <sheetProtection/>
  <mergeCells count="3">
    <mergeCell ref="D1:J1"/>
    <mergeCell ref="D10:J10"/>
    <mergeCell ref="D274:J274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2016-07-22T11:09:16Z</cp:lastPrinted>
  <dcterms:created xsi:type="dcterms:W3CDTF">2015-04-15T07:16:59Z</dcterms:created>
  <dcterms:modified xsi:type="dcterms:W3CDTF">2016-07-22T11:10:19Z</dcterms:modified>
  <cp:category/>
  <cp:version/>
  <cp:contentType/>
  <cp:contentStatus/>
</cp:coreProperties>
</file>